
<file path=[Content_Types].xml><?xml version="1.0" encoding="utf-8"?>
<Types xmlns="http://schemas.openxmlformats.org/package/2006/content-types">
  <Override PartName="/xl/chartsheets/sheet17.xml" ContentType="application/vnd.openxmlformats-officedocument.spreadsheetml.chartsheet+xml"/>
  <Override PartName="/xl/chartsheets/sheet46.xml" ContentType="application/vnd.openxmlformats-officedocument.spreadsheetml.chartsheet+xml"/>
  <Override PartName="/xl/chartsheets/sheet24.xml" ContentType="application/vnd.openxmlformats-officedocument.spreadsheetml.chartsheet+xml"/>
  <Override PartName="/xl/chartsheets/sheet35.xml" ContentType="application/vnd.openxmlformats-officedocument.spreadsheetml.chartsheet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39.xml" ContentType="application/vnd.openxmlformats-officedocument.drawing+xml"/>
  <Override PartName="/xl/drawings/drawing57.xml" ContentType="application/vnd.openxmlformats-officedocument.drawing+xml"/>
  <Override PartName="/xl/chartsheets/sheet13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42.xml" ContentType="application/vnd.openxmlformats-officedocument.spreadsheetml.chartsheet+xml"/>
  <Override PartName="/xl/worksheets/sheet7.xml" ContentType="application/vnd.openxmlformats-officedocument.spreadsheetml.worksheet+xml"/>
  <Override PartName="/xl/drawings/drawing17.xml" ContentType="application/vnd.openxmlformats-officedocument.drawing+xml"/>
  <Override PartName="/xl/drawings/drawing28.xml" ContentType="application/vnd.openxmlformats-officedocument.drawing+xml"/>
  <Override PartName="/xl/drawings/drawing46.xml" ContentType="application/vnd.openxmlformats-officedocument.drawing+xml"/>
  <Default Extension="xml" ContentType="application/xml"/>
  <Override PartName="/xl/chartsheets/sheet20.xml" ContentType="application/vnd.openxmlformats-officedocument.spreadsheetml.chartsheet+xml"/>
  <Override PartName="/xl/drawings/drawing2.xml" ContentType="application/vnd.openxmlformats-officedocument.drawing+xml"/>
  <Override PartName="/xl/drawings/drawing35.xml" ContentType="application/vnd.openxmlformats-officedocument.drawing+xml"/>
  <Override PartName="/xl/drawings/drawing53.xml" ContentType="application/vnd.openxmlformats-officedocument.drawing+xml"/>
  <Override PartName="/xl/charts/chart49.xml" ContentType="application/vnd.openxmlformats-officedocument.drawingml.chart+xml"/>
  <Override PartName="/xl/chartsheets/sheet8.xml" ContentType="application/vnd.openxmlformats-officedocument.spreadsheetml.chartsheet+xml"/>
  <Override PartName="/xl/worksheets/sheet3.xml" ContentType="application/vnd.openxmlformats-officedocument.spreadsheetml.worksheet+xml"/>
  <Override PartName="/xl/drawings/drawing13.xml" ContentType="application/vnd.openxmlformats-officedocument.drawing+xml"/>
  <Override PartName="/xl/drawings/drawing24.xml" ContentType="application/vnd.openxmlformats-officedocument.drawing+xml"/>
  <Override PartName="/xl/charts/chart27.xml" ContentType="application/vnd.openxmlformats-officedocument.drawingml.chart+xml"/>
  <Override PartName="/xl/drawings/drawing42.xml" ContentType="application/vnd.openxmlformats-officedocument.drawingml.chartshapes+xml"/>
  <Override PartName="/xl/charts/chart38.xml" ContentType="application/vnd.openxmlformats-officedocument.drawingml.chart+xml"/>
  <Override PartName="/xl/charts/chart56.xml" ContentType="application/vnd.openxmlformats-officedocument.drawingml.chart+xml"/>
  <Override PartName="/docProps/custom.xml" ContentType="application/vnd.openxmlformats-officedocument.custom-properties+xml"/>
  <Override PartName="/xl/chartsheets/sheet4.xml" ContentType="application/vnd.openxmlformats-officedocument.spreadsheetml.chartsheet+xml"/>
  <Override PartName="/xl/externalLinks/externalLink1.xml" ContentType="application/vnd.openxmlformats-officedocument.spreadsheetml.externalLink+xml"/>
  <Override PartName="/xl/charts/chart16.xml" ContentType="application/vnd.openxmlformats-officedocument.drawingml.chart+xml"/>
  <Override PartName="/xl/drawings/drawing20.xml" ContentType="application/vnd.openxmlformats-officedocument.drawing+xml"/>
  <Override PartName="/xl/drawings/drawing31.xml" ContentType="application/vnd.openxmlformats-officedocument.drawing+xml"/>
  <Override PartName="/xl/charts/chart34.xml" ContentType="application/vnd.openxmlformats-officedocument.drawingml.chart+xml"/>
  <Override PartName="/xl/charts/chart45.xml" ContentType="application/vnd.openxmlformats-officedocument.drawingml.chart+xml"/>
  <Override PartName="/xl/sharedStrings.xml" ContentType="application/vnd.openxmlformats-officedocument.spreadsheetml.sharedStrings+xml"/>
  <Override PartName="/xl/charts/chart23.xml" ContentType="application/vnd.openxmlformats-officedocument.drawingml.chart+xml"/>
  <Override PartName="/xl/charts/chart52.xml" ContentType="application/vnd.openxmlformats-officedocument.drawingml.chart+xml"/>
  <Override PartName="/xl/chartsheets/sheet29.xml" ContentType="application/vnd.openxmlformats-officedocument.spreadsheetml.chartsheet+xml"/>
  <Override PartName="/xl/chartsheets/sheet47.xml" ContentType="application/vnd.openxmlformats-officedocument.spreadsheetml.chartsheet+xml"/>
  <Override PartName="/xl/charts/chart9.xml" ContentType="application/vnd.openxmlformats-officedocument.drawingml.chart+xml"/>
  <Override PartName="/xl/charts/chart12.xml" ContentType="application/vnd.openxmlformats-officedocument.drawingml.chart+xml"/>
  <Override PartName="/xl/charts/chart30.xml" ContentType="application/vnd.openxmlformats-officedocument.drawingml.chart+xml"/>
  <Override PartName="/xl/charts/chart41.xml" ContentType="application/vnd.openxmlformats-officedocument.drawingml.chart+xml"/>
  <Override PartName="/xl/chartsheets/sheet18.xml" ContentType="application/vnd.openxmlformats-officedocument.spreadsheetml.chartsheet+xml"/>
  <Override PartName="/xl/chartsheets/sheet36.xml" ContentType="application/vnd.openxmlformats-officedocument.spreadsheetml.chartsheet+xml"/>
  <Default Extension="bin" ContentType="application/vnd.openxmlformats-officedocument.spreadsheetml.printerSettings"/>
  <Default Extension="png" ContentType="image/png"/>
  <Override PartName="/xl/chartsheets/sheet25.xml" ContentType="application/vnd.openxmlformats-officedocument.spreadsheetml.chartsheet+xml"/>
  <Override PartName="/xl/chartsheets/sheet43.xml" ContentType="application/vnd.openxmlformats-officedocument.spreadsheetml.chartsheet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drawings/drawing29.xml" ContentType="application/vnd.openxmlformats-officedocument.drawing+xml"/>
  <Override PartName="/xl/drawings/drawing58.xml" ContentType="application/vnd.openxmlformats-officedocument.drawing+xml"/>
  <Override PartName="/xl/chartsheets/sheet14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50.xml" ContentType="application/vnd.openxmlformats-officedocument.spreadsheetml.chartsheet+xml"/>
  <Override PartName="/xl/worksheets/sheet8.xml" ContentType="application/vnd.openxmlformats-officedocument.spreadsheetml.worksheet+xml"/>
  <Override PartName="/xl/drawings/drawing18.xml" ContentType="application/vnd.openxmlformats-officedocument.drawing+xml"/>
  <Override PartName="/xl/drawings/drawing36.xml" ContentType="application/vnd.openxmlformats-officedocument.drawing+xml"/>
  <Override PartName="/xl/drawings/drawing47.xml" ContentType="application/vnd.openxmlformats-officedocument.drawingml.chartshapes+xml"/>
  <Override PartName="/xl/workbook.xml" ContentType="application/vnd.openxmlformats-officedocument.spreadsheetml.sheet.main+xml"/>
  <Override PartName="/xl/chartsheets/sheet9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25.xml" ContentType="application/vnd.openxmlformats-officedocument.drawing+xml"/>
  <Override PartName="/xl/drawings/drawing43.xml" ContentType="application/vnd.openxmlformats-officedocument.drawing+xml"/>
  <Override PartName="/xl/charts/chart39.xml" ContentType="application/vnd.openxmlformats-officedocument.drawingml.chart+xml"/>
  <Override PartName="/xl/drawings/drawing54.xml" ContentType="application/vnd.openxmlformats-officedocument.drawing+xml"/>
  <Override PartName="/xl/charts/chart57.xml" ContentType="application/vnd.openxmlformats-officedocument.drawingml.chart+xml"/>
  <Override PartName="/docProps/app.xml" ContentType="application/vnd.openxmlformats-officedocument.extended-properties+xml"/>
  <Override PartName="/xl/chartsheets/sheet10.xml" ContentType="application/vnd.openxmlformats-officedocument.spreadsheetml.chartsheet+xml"/>
  <Override PartName="/xl/externalLinks/externalLink2.xml" ContentType="application/vnd.openxmlformats-officedocument.spreadsheetml.externalLink+xml"/>
  <Override PartName="/xl/drawings/drawing14.xml" ContentType="application/vnd.openxmlformats-officedocument.drawing+xml"/>
  <Override PartName="/xl/drawings/drawing32.xml" ContentType="application/vnd.openxmlformats-officedocument.drawing+xml"/>
  <Override PartName="/xl/charts/chart28.xml" ContentType="application/vnd.openxmlformats-officedocument.drawingml.chart+xml"/>
  <Override PartName="/xl/charts/chart46.xml" ContentType="application/vnd.openxmlformats-officedocument.drawingml.chart+xml"/>
  <Override PartName="/xl/chartsheets/sheet5.xml" ContentType="application/vnd.openxmlformats-officedocument.spreadsheetml.chartsheet+xml"/>
  <Default Extension="vml" ContentType="application/vnd.openxmlformats-officedocument.vmlDrawing"/>
  <Override PartName="/xl/comments1.xml" ContentType="application/vnd.openxmlformats-officedocument.spreadsheetml.comments+xml"/>
  <Override PartName="/xl/charts/chart17.xml" ContentType="application/vnd.openxmlformats-officedocument.drawingml.chart+xml"/>
  <Override PartName="/xl/drawings/drawing21.xml" ContentType="application/vnd.openxmlformats-officedocument.drawing+xml"/>
  <Override PartName="/xl/charts/chart35.xml" ContentType="application/vnd.openxmlformats-officedocument.drawingml.chart+xml"/>
  <Override PartName="/xl/drawings/drawing50.xml" ContentType="application/vnd.openxmlformats-officedocument.drawing+xml"/>
  <Override PartName="/xl/charts/chart53.xml" ContentType="application/vnd.openxmlformats-officedocument.drawingml.chart+xml"/>
  <Override PartName="/xl/calcChain.xml" ContentType="application/vnd.openxmlformats-officedocument.spreadsheetml.calcChain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chart24.xml" ContentType="application/vnd.openxmlformats-officedocument.drawingml.chart+xml"/>
  <Override PartName="/xl/charts/chart42.xml" ContentType="application/vnd.openxmlformats-officedocument.drawingml.chart+xml"/>
  <Override PartName="/xl/chartsheets/sheet1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48.xml" ContentType="application/vnd.openxmlformats-officedocument.spreadsheetml.chartsheet+xml"/>
  <Override PartName="/xl/charts/chart31.xml" ContentType="application/vnd.openxmlformats-officedocument.drawingml.chart+xml"/>
  <Override PartName="/docProps/core.xml" ContentType="application/vnd.openxmlformats-package.core-properties+xml"/>
  <Override PartName="/xl/chartsheets/sheet26.xml" ContentType="application/vnd.openxmlformats-officedocument.spreadsheetml.chartsheet+xml"/>
  <Override PartName="/xl/chartsheets/sheet37.xml" ContentType="application/vnd.openxmlformats-officedocument.spreadsheetml.chartsheet+xml"/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drawings/drawing59.xml" ContentType="application/vnd.openxmlformats-officedocument.drawing+xml"/>
  <Override PartName="/xl/chartsheets/sheet15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44.xml" ContentType="application/vnd.openxmlformats-officedocument.spreadsheetml.chartsheet+xml"/>
  <Override PartName="/xl/theme/theme1.xml" ContentType="application/vnd.openxmlformats-officedocument.theme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drawings/drawing48.xml" ContentType="application/vnd.openxmlformats-officedocument.drawing+xml"/>
  <Override PartName="/xl/chartsheets/sheet22.xml" ContentType="application/vnd.openxmlformats-officedocument.spreadsheetml.chartsheet+xml"/>
  <Override PartName="/xl/chartsheets/sheet51.xml" ContentType="application/vnd.openxmlformats-officedocument.spreadsheetml.chart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37.xml" ContentType="application/vnd.openxmlformats-officedocument.drawing+xml"/>
  <Override PartName="/xl/drawings/drawing55.xml" ContentType="application/vnd.openxmlformats-officedocument.drawing+xml"/>
  <Default Extension="rels" ContentType="application/vnd.openxmlformats-package.relationships+xml"/>
  <Override PartName="/xl/chartsheets/sheet11.xml" ContentType="application/vnd.openxmlformats-officedocument.spreadsheetml.chartsheet+xml"/>
  <Override PartName="/xl/chartsheets/sheet40.xml" ContentType="application/vnd.openxmlformats-officedocument.spreadsheetml.chartsheet+xml"/>
  <Override PartName="/xl/worksheets/sheet5.xml" ContentType="application/vnd.openxmlformats-officedocument.spreadsheetml.worksheet+xml"/>
  <Override PartName="/xl/drawings/drawing15.xml" ContentType="application/vnd.openxmlformats-officedocument.drawing+xml"/>
  <Override PartName="/xl/drawings/drawing26.xml" ContentType="application/vnd.openxmlformats-officedocument.drawingml.chartshapes+xml"/>
  <Override PartName="/xl/charts/chart29.xml" ContentType="application/vnd.openxmlformats-officedocument.drawingml.chart+xml"/>
  <Override PartName="/xl/drawings/drawing44.xml" ContentType="application/vnd.openxmlformats-officedocument.drawing+xml"/>
  <Override PartName="/xl/chartsheets/sheet6.xml" ContentType="application/vnd.openxmlformats-officedocument.spreadsheetml.chartsheet+xml"/>
  <Override PartName="/xl/charts/chart18.xml" ContentType="application/vnd.openxmlformats-officedocument.drawingml.chart+xml"/>
  <Override PartName="/xl/drawings/drawing22.xml" ContentType="application/vnd.openxmlformats-officedocument.drawing+xml"/>
  <Override PartName="/xl/drawings/drawing33.xml" ContentType="application/vnd.openxmlformats-officedocument.drawing+xml"/>
  <Override PartName="/xl/comments2.xml" ContentType="application/vnd.openxmlformats-officedocument.spreadsheetml.comments+xml"/>
  <Override PartName="/xl/charts/chart36.xml" ContentType="application/vnd.openxmlformats-officedocument.drawingml.chart+xml"/>
  <Override PartName="/xl/drawings/drawing51.xml" ContentType="application/vnd.openxmlformats-officedocument.drawing+xml"/>
  <Override PartName="/xl/charts/chart47.xml" ContentType="application/vnd.openxmlformats-officedocument.drawingml.chart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drawings/drawing40.xml" ContentType="application/vnd.openxmlformats-officedocument.drawing+xml"/>
  <Override PartName="/xl/charts/chart54.xml" ContentType="application/vnd.openxmlformats-officedocument.drawingml.chart+xml"/>
  <Override PartName="/xl/chartsheets/sheet2.xml" ContentType="application/vnd.openxmlformats-officedocument.spreadsheetml.chartsheet+xml"/>
  <Override PartName="/xl/chartsheets/sheet49.xml" ContentType="application/vnd.openxmlformats-officedocument.spreadsheetml.chartsheet+xml"/>
  <Override PartName="/xl/charts/chart14.xml" ContentType="application/vnd.openxmlformats-officedocument.drawingml.chart+xml"/>
  <Override PartName="/xl/charts/chart32.xml" ContentType="application/vnd.openxmlformats-officedocument.drawingml.chart+xml"/>
  <Override PartName="/xl/charts/chart43.xml" ContentType="application/vnd.openxmlformats-officedocument.drawingml.chart+xml"/>
  <Override PartName="/xl/chartsheets/sheet38.xml" ContentType="application/vnd.openxmlformats-officedocument.spreadsheetml.chartsheet+xml"/>
  <Override PartName="/xl/charts/chart21.xml" ContentType="application/vnd.openxmlformats-officedocument.drawingml.chart+xml"/>
  <Override PartName="/xl/charts/chart50.xml" ContentType="application/vnd.openxmlformats-officedocument.drawingml.chart+xml"/>
  <Override PartName="/xl/chartsheets/sheet27.xml" ContentType="application/vnd.openxmlformats-officedocument.spreadsheetml.chartsheet+xml"/>
  <Override PartName="/xl/chartsheets/sheet45.xml" ContentType="application/vnd.openxmlformats-officedocument.spreadsheetml.chartsheet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10.xml" ContentType="application/vnd.openxmlformats-officedocument.drawingml.chart+xml"/>
  <Override PartName="/xl/chartsheets/sheet16.xml" ContentType="application/vnd.openxmlformats-officedocument.spreadsheetml.chartsheet+xml"/>
  <Override PartName="/xl/chartsheets/sheet34.xml" ContentType="application/vnd.openxmlformats-officedocument.spreadsheetml.chartsheet+xml"/>
  <Override PartName="/xl/drawings/drawing38.xml" ContentType="application/vnd.openxmlformats-officedocument.drawing+xml"/>
  <Override PartName="/xl/drawings/drawing49.xml" ContentType="application/vnd.openxmlformats-officedocument.drawing+xml"/>
  <Override PartName="/xl/chartsheets/sheet23.xml" ContentType="application/vnd.openxmlformats-officedocument.spreadsheetml.chartsheet+xml"/>
  <Override PartName="/xl/chartsheets/sheet41.xml" ContentType="application/vnd.openxmlformats-officedocument.spreadsheetml.chartsheet+xml"/>
  <Override PartName="/xl/worksheets/sheet6.xml" ContentType="application/vnd.openxmlformats-officedocument.spreadsheetml.workshee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drawings/drawing27.xml" ContentType="application/vnd.openxmlformats-officedocument.drawing+xml"/>
  <Override PartName="/xl/drawings/drawing45.xml" ContentType="application/vnd.openxmlformats-officedocument.drawing+xml"/>
  <Override PartName="/xl/drawings/drawing56.xml" ContentType="application/vnd.openxmlformats-officedocument.drawing+xml"/>
  <Override PartName="/xl/chartsheets/sheet12.xml" ContentType="application/vnd.openxmlformats-officedocument.spreadsheetml.chartsheet+xml"/>
  <Override PartName="/xl/chartsheets/sheet30.xml" ContentType="application/vnd.openxmlformats-officedocument.spreadsheetml.chartsheet+xml"/>
  <Override PartName="/xl/drawings/drawing16.xml" ContentType="application/vnd.openxmlformats-officedocument.drawing+xml"/>
  <Override PartName="/xl/drawings/drawing34.xml" ContentType="application/vnd.openxmlformats-officedocument.drawing+xml"/>
  <Override PartName="/xl/charts/chart48.xml" ContentType="application/vnd.openxmlformats-officedocument.drawingml.chart+xml"/>
  <Override PartName="/xl/chartsheets/sheet7.xml" ContentType="application/vnd.openxmlformats-officedocument.spreadsheetml.chart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hart19.xml" ContentType="application/vnd.openxmlformats-officedocument.drawingml.chart+xml"/>
  <Override PartName="/xl/drawings/drawing23.xml" ContentType="application/vnd.openxmlformats-officedocument.drawing+xml"/>
  <Override PartName="/xl/drawings/drawing41.xml" ContentType="application/vnd.openxmlformats-officedocument.drawing+xml"/>
  <Override PartName="/xl/charts/chart37.xml" ContentType="application/vnd.openxmlformats-officedocument.drawingml.chart+xml"/>
  <Override PartName="/xl/drawings/drawing52.xml" ContentType="application/vnd.openxmlformats-officedocument.drawing+xml"/>
  <Override PartName="/xl/charts/chart55.xml" ContentType="application/vnd.openxmlformats-officedocument.drawingml.chart+xml"/>
  <Override PartName="/xl/drawings/drawing12.xml" ContentType="application/vnd.openxmlformats-officedocument.drawing+xml"/>
  <Override PartName="/xl/drawings/drawing30.xml" ContentType="application/vnd.openxmlformats-officedocument.drawing+xml"/>
  <Override PartName="/xl/charts/chart26.xml" ContentType="application/vnd.openxmlformats-officedocument.drawingml.chart+xml"/>
  <Override PartName="/xl/charts/chart44.xml" ContentType="application/vnd.openxmlformats-officedocument.drawingml.chart+xml"/>
  <Override PartName="/xl/chartsheets/sheet3.xml" ContentType="application/vnd.openxmlformats-officedocument.spreadsheetml.chartsheet+xml"/>
  <Override PartName="/xl/charts/chart15.xml" ContentType="application/vnd.openxmlformats-officedocument.drawingml.chart+xml"/>
  <Override PartName="/xl/charts/chart33.xml" ContentType="application/vnd.openxmlformats-officedocument.drawingml.chart+xml"/>
  <Override PartName="/xl/charts/chart51.xml" ContentType="application/vnd.openxmlformats-officedocument.drawingml.chart+xml"/>
  <Override PartName="/xl/chartsheets/sheet28.xml" ContentType="application/vnd.openxmlformats-officedocument.spreadsheetml.chartsheet+xml"/>
  <Override PartName="/xl/chartsheets/sheet39.xml" ContentType="application/vnd.openxmlformats-officedocument.spreadsheetml.chartsheet+xml"/>
  <Override PartName="/xl/charts/chart8.xml" ContentType="application/vnd.openxmlformats-officedocument.drawingml.chart+xml"/>
  <Override PartName="/xl/charts/chart11.xml" ContentType="application/vnd.openxmlformats-officedocument.drawingml.chart+xml"/>
  <Override PartName="/xl/charts/chart22.xml" ContentType="application/vnd.openxmlformats-officedocument.drawingml.chart+xml"/>
  <Override PartName="/xl/charts/chart4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405" windowWidth="19245" windowHeight="5220" tabRatio="815" firstSheet="8" activeTab="9"/>
  </bookViews>
  <sheets>
    <sheet name="Ingresos por Conv CIMAV-UM" sheetId="188" r:id="rId1"/>
    <sheet name="Ingresos por Conv CIMAV" sheetId="187" r:id="rId2"/>
    <sheet name="Servicios" sheetId="185" r:id="rId3"/>
    <sheet name="Capítulos de Libro" sheetId="184" r:id="rId4"/>
    <sheet name="Presup Fiscal Mod y ejer" sheetId="193" r:id="rId5"/>
    <sheet name="Verano Científico" sheetId="194" r:id="rId6"/>
    <sheet name="Ing x Serv y proyect" sheetId="209" r:id="rId7"/>
    <sheet name="Solicitudes de Patentes" sheetId="171" r:id="rId8"/>
    <sheet name="Datos " sheetId="101" r:id="rId9"/>
    <sheet name="Personal Total" sheetId="147" r:id="rId10"/>
    <sheet name="Personal Académico" sheetId="157" r:id="rId11"/>
    <sheet name="Grado Academico" sheetId="166" r:id="rId12"/>
    <sheet name="SNI Año" sheetId="207" r:id="rId13"/>
    <sheet name="SNI" sheetId="163" r:id="rId14"/>
    <sheet name="Proyectos Investiga" sheetId="206" r:id="rId15"/>
    <sheet name="Proyectos" sheetId="183" r:id="rId16"/>
    <sheet name="Alum Atendidos" sheetId="158" r:id="rId17"/>
    <sheet name="Proy Conv" sheetId="150" r:id="rId18"/>
    <sheet name="Graduados" sheetId="128" r:id="rId19"/>
    <sheet name="Artículos Publicados" sheetId="109" r:id="rId20"/>
    <sheet name="Convenios Vig" sheetId="149" r:id="rId21"/>
    <sheet name="Ingresos por Inves (2)" sheetId="172" r:id="rId22"/>
    <sheet name="Matrícula" sheetId="152" r:id="rId23"/>
    <sheet name="Ingresos por personal académico" sheetId="120" r:id="rId24"/>
    <sheet name="Clientes Atend" sheetId="165" r:id="rId25"/>
    <sheet name="Citas" sheetId="173" r:id="rId26"/>
    <sheet name="Proyectos Convoc" sheetId="174" r:id="rId27"/>
    <sheet name="Ingresos" sheetId="168" r:id="rId28"/>
    <sheet name="Ingresos Totales" sheetId="179" r:id="rId29"/>
    <sheet name="Gasto" sheetId="170" r:id="rId30"/>
    <sheet name="Ingresos Prog y Captado" sheetId="175" r:id="rId31"/>
    <sheet name="Ingresos Prog y Captado (2)" sheetId="191" r:id="rId32"/>
    <sheet name="Gasto Programado y Ejercido" sheetId="176" r:id="rId33"/>
    <sheet name="Gasto Modificado y Ejercido " sheetId="181" r:id="rId34"/>
    <sheet name="Gráfico1" sheetId="178" r:id="rId35"/>
    <sheet name="Hoja1" sheetId="169" r:id="rId36"/>
    <sheet name="2001-2006 Indicadores" sheetId="143" r:id="rId37"/>
    <sheet name="Artículos" sheetId="154" r:id="rId38"/>
    <sheet name="Indicadores SNI" sheetId="132" r:id="rId39"/>
    <sheet name="Indicad Ef Terminal 1" sheetId="156" r:id="rId40"/>
    <sheet name="Indic Ingresos" sheetId="135" r:id="rId41"/>
    <sheet name="Programas" sheetId="161" r:id="rId42"/>
    <sheet name="FRH INVS" sheetId="160" r:id="rId43"/>
    <sheet name="Tiempo de Grad" sheetId="155" r:id="rId44"/>
    <sheet name="PNP y FRH" sheetId="159" r:id="rId45"/>
    <sheet name="Ppto Ejercido Total por persona" sheetId="130" r:id="rId46"/>
    <sheet name="Hoja2" sheetId="195" r:id="rId47"/>
    <sheet name="Hoja3" sheetId="196" r:id="rId48"/>
    <sheet name="UM Personal Total" sheetId="208" r:id="rId49"/>
    <sheet name="Personal Académico UM" sheetId="198" r:id="rId50"/>
    <sheet name="Artículos Publicados (2)" sheetId="199" r:id="rId51"/>
    <sheet name="Grado Academico UM" sheetId="200" r:id="rId52"/>
    <sheet name="SNI UM" sheetId="201" r:id="rId53"/>
    <sheet name="Ingresos Conv UM" sheetId="202" r:id="rId54"/>
    <sheet name="Matrícula UM" sheetId="203" r:id="rId55"/>
    <sheet name="Graduados MCCyT" sheetId="204" r:id="rId56"/>
    <sheet name="Ingresos por ServyProyUM" sheetId="205" r:id="rId57"/>
    <sheet name="GRAFICAS ANUALES" sheetId="210" r:id="rId58"/>
    <sheet name="Hoja4" sheetId="211" r:id="rId59"/>
  </sheets>
  <externalReferences>
    <externalReference r:id="rId60"/>
    <externalReference r:id="rId61"/>
  </externalReferences>
  <definedNames>
    <definedName name="PROGRAMA">#REF!</definedName>
  </definedNames>
  <calcPr calcId="125725"/>
</workbook>
</file>

<file path=xl/calcChain.xml><?xml version="1.0" encoding="utf-8"?>
<calcChain xmlns="http://schemas.openxmlformats.org/spreadsheetml/2006/main">
  <c r="Y189" i="101"/>
  <c r="Y188"/>
  <c r="Y187"/>
  <c r="X187"/>
  <c r="W187"/>
  <c r="V187"/>
  <c r="Y186"/>
  <c r="X186"/>
  <c r="W186"/>
  <c r="V186"/>
  <c r="Y185"/>
  <c r="X185"/>
  <c r="W185"/>
  <c r="V185"/>
  <c r="U185"/>
  <c r="Y362" l="1"/>
  <c r="Y359"/>
  <c r="Y376" l="1"/>
  <c r="Y149" l="1"/>
  <c r="Y127"/>
  <c r="R108"/>
  <c r="S108"/>
  <c r="T108"/>
  <c r="U108"/>
  <c r="V108"/>
  <c r="W108"/>
  <c r="X108"/>
  <c r="Y108"/>
  <c r="Y98"/>
  <c r="Y97"/>
  <c r="Y96"/>
  <c r="U68"/>
  <c r="P68"/>
  <c r="Y46"/>
  <c r="O74" l="1"/>
  <c r="N74"/>
  <c r="M74"/>
  <c r="L74"/>
  <c r="K74"/>
  <c r="J74"/>
  <c r="Y86" l="1"/>
  <c r="Y89" l="1"/>
  <c r="Y88"/>
  <c r="Y41" l="1"/>
  <c r="S649" l="1"/>
  <c r="Y77" l="1"/>
  <c r="Y76"/>
  <c r="Y60"/>
  <c r="Y331" l="1"/>
  <c r="Y138" l="1"/>
  <c r="Y141" s="1"/>
  <c r="Y123"/>
  <c r="Y27" l="1"/>
  <c r="Y360" s="1"/>
  <c r="Y361" s="1"/>
  <c r="Y15" l="1"/>
  <c r="Y8"/>
  <c r="X541"/>
  <c r="K723" l="1"/>
  <c r="J723"/>
  <c r="N600" l="1"/>
  <c r="N599"/>
  <c r="N598"/>
  <c r="N597"/>
  <c r="N596"/>
  <c r="N595"/>
  <c r="N591"/>
  <c r="N601" s="1"/>
  <c r="X481"/>
  <c r="X480"/>
  <c r="X498" l="1"/>
  <c r="X489"/>
  <c r="X455"/>
  <c r="X472" s="1"/>
  <c r="X473" s="1"/>
  <c r="X526" l="1"/>
  <c r="X138" l="1"/>
  <c r="X331" l="1"/>
  <c r="Y332" s="1"/>
  <c r="X376" l="1"/>
  <c r="X362" l="1"/>
  <c r="X359"/>
  <c r="X123" l="1"/>
  <c r="W138"/>
  <c r="X86" l="1"/>
  <c r="X29" l="1"/>
  <c r="X57"/>
  <c r="X58"/>
  <c r="X59"/>
  <c r="X60"/>
  <c r="X56"/>
  <c r="X51"/>
  <c r="X52"/>
  <c r="X50"/>
  <c r="X37"/>
  <c r="X41" s="1"/>
  <c r="X23"/>
  <c r="X24"/>
  <c r="X25"/>
  <c r="X26"/>
  <c r="X27"/>
  <c r="X22"/>
  <c r="X14"/>
  <c r="X13"/>
  <c r="X12"/>
  <c r="X8"/>
  <c r="X6"/>
  <c r="X7"/>
  <c r="X5"/>
  <c r="X4"/>
  <c r="X149" l="1"/>
  <c r="X141"/>
  <c r="X368"/>
  <c r="X370" s="1"/>
  <c r="X360"/>
  <c r="X361" s="1"/>
  <c r="X97"/>
  <c r="X96"/>
  <c r="X98"/>
  <c r="X15"/>
  <c r="X73"/>
  <c r="X369" s="1"/>
  <c r="X89"/>
  <c r="X88"/>
  <c r="U15"/>
  <c r="T15"/>
  <c r="S15"/>
  <c r="Q15"/>
  <c r="O15"/>
  <c r="N15"/>
  <c r="M15"/>
  <c r="L15"/>
  <c r="K15"/>
  <c r="J15"/>
  <c r="R12"/>
  <c r="R15" s="1"/>
  <c r="P12"/>
  <c r="P15" s="1"/>
  <c r="X76" l="1"/>
  <c r="X77"/>
  <c r="R541"/>
  <c r="S541"/>
  <c r="T541"/>
  <c r="U541"/>
  <c r="V541" l="1"/>
  <c r="W541"/>
  <c r="J715" l="1"/>
  <c r="J707"/>
  <c r="J699"/>
  <c r="K715"/>
  <c r="K707"/>
  <c r="K699"/>
  <c r="W563" l="1"/>
  <c r="W565"/>
  <c r="W564"/>
  <c r="W376"/>
  <c r="W566" l="1"/>
  <c r="W526"/>
  <c r="V526"/>
  <c r="L600"/>
  <c r="L599"/>
  <c r="L598"/>
  <c r="L597"/>
  <c r="L596"/>
  <c r="L595"/>
  <c r="L591"/>
  <c r="L601" s="1"/>
  <c r="W548"/>
  <c r="W533"/>
  <c r="W531"/>
  <c r="W520"/>
  <c r="W535" l="1"/>
  <c r="W489" l="1"/>
  <c r="W481"/>
  <c r="W480"/>
  <c r="W498"/>
  <c r="V145"/>
  <c r="U145"/>
  <c r="W123"/>
  <c r="V123"/>
  <c r="W512" l="1"/>
  <c r="W511"/>
  <c r="W508"/>
  <c r="W510" s="1"/>
  <c r="W86"/>
  <c r="W331" l="1"/>
  <c r="W362"/>
  <c r="W359"/>
  <c r="X332" l="1"/>
  <c r="W60"/>
  <c r="W41"/>
  <c r="W465"/>
  <c r="W464"/>
  <c r="W75"/>
  <c r="W29"/>
  <c r="W455"/>
  <c r="W27"/>
  <c r="W472" l="1"/>
  <c r="W473" s="1"/>
  <c r="W532"/>
  <c r="W534" s="1"/>
  <c r="W97"/>
  <c r="W98"/>
  <c r="W149"/>
  <c r="W141"/>
  <c r="W360"/>
  <c r="W361" s="1"/>
  <c r="W368"/>
  <c r="W370" s="1"/>
  <c r="W73"/>
  <c r="W77" s="1"/>
  <c r="W89"/>
  <c r="W88"/>
  <c r="W96"/>
  <c r="W51"/>
  <c r="W52" s="1"/>
  <c r="X407"/>
  <c r="X414" s="1"/>
  <c r="C25" i="143"/>
  <c r="D25"/>
  <c r="E25"/>
  <c r="F25"/>
  <c r="G25"/>
  <c r="H25"/>
  <c r="I25"/>
  <c r="J25"/>
  <c r="K25"/>
  <c r="L25"/>
  <c r="M25"/>
  <c r="N25"/>
  <c r="C26"/>
  <c r="D26"/>
  <c r="E26"/>
  <c r="F26"/>
  <c r="G26"/>
  <c r="H26"/>
  <c r="I26"/>
  <c r="J26"/>
  <c r="K26"/>
  <c r="L26"/>
  <c r="M26"/>
  <c r="N26"/>
  <c r="C27"/>
  <c r="D27"/>
  <c r="E27"/>
  <c r="F27"/>
  <c r="G27"/>
  <c r="H27"/>
  <c r="I27"/>
  <c r="J27"/>
  <c r="K27"/>
  <c r="L27"/>
  <c r="M27"/>
  <c r="N27"/>
  <c r="C28"/>
  <c r="D28"/>
  <c r="E28"/>
  <c r="F28"/>
  <c r="G28"/>
  <c r="H28"/>
  <c r="I28"/>
  <c r="J28"/>
  <c r="K28"/>
  <c r="L28"/>
  <c r="C29"/>
  <c r="D29"/>
  <c r="E29"/>
  <c r="F29"/>
  <c r="G29"/>
  <c r="H29"/>
  <c r="I29"/>
  <c r="J29"/>
  <c r="K29"/>
  <c r="L29"/>
  <c r="E30"/>
  <c r="F30"/>
  <c r="G30"/>
  <c r="H30"/>
  <c r="I30"/>
  <c r="J30"/>
  <c r="K30"/>
  <c r="L30"/>
  <c r="M30"/>
  <c r="N30"/>
  <c r="E31"/>
  <c r="F31"/>
  <c r="G31"/>
  <c r="H31"/>
  <c r="I31"/>
  <c r="J31"/>
  <c r="K31"/>
  <c r="L31"/>
  <c r="M31"/>
  <c r="N31"/>
  <c r="C32"/>
  <c r="D32"/>
  <c r="E32"/>
  <c r="F32"/>
  <c r="G32"/>
  <c r="H32"/>
  <c r="I32"/>
  <c r="J32"/>
  <c r="K32"/>
  <c r="L32"/>
  <c r="M32"/>
  <c r="N32"/>
  <c r="C33"/>
  <c r="D33"/>
  <c r="E33"/>
  <c r="F33"/>
  <c r="G33"/>
  <c r="H33"/>
  <c r="I33"/>
  <c r="J33"/>
  <c r="K33"/>
  <c r="L33"/>
  <c r="M33"/>
  <c r="N33"/>
  <c r="K34"/>
  <c r="L34"/>
  <c r="C35"/>
  <c r="D35"/>
  <c r="E35"/>
  <c r="F35"/>
  <c r="G35"/>
  <c r="H35"/>
  <c r="I35"/>
  <c r="J35"/>
  <c r="C51"/>
  <c r="D51"/>
  <c r="E51"/>
  <c r="F51"/>
  <c r="G51"/>
  <c r="H51"/>
  <c r="I51"/>
  <c r="J51"/>
  <c r="K51"/>
  <c r="L51"/>
  <c r="C52"/>
  <c r="D52"/>
  <c r="E52"/>
  <c r="F52"/>
  <c r="G52"/>
  <c r="H52"/>
  <c r="I52"/>
  <c r="J52"/>
  <c r="K52"/>
  <c r="L52"/>
  <c r="C53"/>
  <c r="D53"/>
  <c r="E53"/>
  <c r="F53"/>
  <c r="G53"/>
  <c r="H53"/>
  <c r="I53"/>
  <c r="J53"/>
  <c r="K53"/>
  <c r="L53"/>
  <c r="C54"/>
  <c r="D54"/>
  <c r="E54"/>
  <c r="F54"/>
  <c r="G54"/>
  <c r="H54"/>
  <c r="I54"/>
  <c r="J54"/>
  <c r="K54"/>
  <c r="L54"/>
  <c r="C55"/>
  <c r="D55"/>
  <c r="E55"/>
  <c r="F55"/>
  <c r="G55"/>
  <c r="H55"/>
  <c r="I55"/>
  <c r="J55"/>
  <c r="K55"/>
  <c r="L55"/>
  <c r="E56"/>
  <c r="F56"/>
  <c r="G56"/>
  <c r="H56"/>
  <c r="I56"/>
  <c r="J56"/>
  <c r="K56"/>
  <c r="L56"/>
  <c r="E57"/>
  <c r="F57"/>
  <c r="G57"/>
  <c r="H57"/>
  <c r="I57"/>
  <c r="J57"/>
  <c r="K57"/>
  <c r="L57"/>
  <c r="C58"/>
  <c r="D58"/>
  <c r="E58"/>
  <c r="F58"/>
  <c r="G58"/>
  <c r="H58"/>
  <c r="I58"/>
  <c r="J58"/>
  <c r="K58"/>
  <c r="L58"/>
  <c r="C59"/>
  <c r="D59"/>
  <c r="E59"/>
  <c r="F59"/>
  <c r="G59"/>
  <c r="H59"/>
  <c r="I59"/>
  <c r="J59"/>
  <c r="K59"/>
  <c r="L59"/>
  <c r="K60"/>
  <c r="L60"/>
  <c r="C61"/>
  <c r="D61"/>
  <c r="E61"/>
  <c r="F61"/>
  <c r="G61"/>
  <c r="H61"/>
  <c r="I61"/>
  <c r="J61"/>
  <c r="C65"/>
  <c r="D65"/>
  <c r="E65"/>
  <c r="F65"/>
  <c r="G65"/>
  <c r="H65"/>
  <c r="I65"/>
  <c r="J65"/>
  <c r="K65"/>
  <c r="L65"/>
  <c r="M65"/>
  <c r="N65"/>
  <c r="C66"/>
  <c r="D66"/>
  <c r="E66"/>
  <c r="F66"/>
  <c r="G66"/>
  <c r="H66"/>
  <c r="I66"/>
  <c r="J66"/>
  <c r="K66"/>
  <c r="L66"/>
  <c r="M66"/>
  <c r="N66"/>
  <c r="G70"/>
  <c r="H70"/>
  <c r="G71"/>
  <c r="H71"/>
  <c r="G72"/>
  <c r="H72"/>
  <c r="G73"/>
  <c r="H73"/>
  <c r="G77"/>
  <c r="H77"/>
  <c r="G78"/>
  <c r="H78"/>
  <c r="G83"/>
  <c r="G84"/>
  <c r="G85"/>
  <c r="G86"/>
  <c r="F89"/>
  <c r="G89"/>
  <c r="F90"/>
  <c r="G90"/>
  <c r="F91"/>
  <c r="G91"/>
  <c r="F92"/>
  <c r="G92"/>
  <c r="C96"/>
  <c r="D96"/>
  <c r="E96"/>
  <c r="F96"/>
  <c r="G96"/>
  <c r="H96"/>
  <c r="C97"/>
  <c r="D97"/>
  <c r="E97"/>
  <c r="F97"/>
  <c r="G97"/>
  <c r="H97"/>
  <c r="C98"/>
  <c r="D98"/>
  <c r="E98"/>
  <c r="F98"/>
  <c r="C99"/>
  <c r="D99"/>
  <c r="E99"/>
  <c r="F99"/>
  <c r="C103"/>
  <c r="D106"/>
  <c r="G111"/>
  <c r="J27" i="101"/>
  <c r="K27"/>
  <c r="L27"/>
  <c r="M27"/>
  <c r="N27"/>
  <c r="O27"/>
  <c r="P27"/>
  <c r="Q27"/>
  <c r="R27"/>
  <c r="S27"/>
  <c r="T27"/>
  <c r="U27"/>
  <c r="U368" s="1"/>
  <c r="V27"/>
  <c r="V360" s="1"/>
  <c r="V361" s="1"/>
  <c r="J29"/>
  <c r="J51" s="1"/>
  <c r="J52" s="1"/>
  <c r="K29"/>
  <c r="K97" s="1"/>
  <c r="L29"/>
  <c r="L51" s="1"/>
  <c r="L52" s="1"/>
  <c r="M29"/>
  <c r="M51" s="1"/>
  <c r="M52" s="1"/>
  <c r="N29"/>
  <c r="N51" s="1"/>
  <c r="N52" s="1"/>
  <c r="O29"/>
  <c r="O97" s="1"/>
  <c r="P29"/>
  <c r="P96" s="1"/>
  <c r="U29"/>
  <c r="U96" s="1"/>
  <c r="V29"/>
  <c r="V73" s="1"/>
  <c r="V455"/>
  <c r="V472" s="1"/>
  <c r="V473" s="1"/>
  <c r="J73"/>
  <c r="J76" s="1"/>
  <c r="K73"/>
  <c r="K76" s="1"/>
  <c r="L73"/>
  <c r="L76" s="1"/>
  <c r="M73"/>
  <c r="M76" s="1"/>
  <c r="N73"/>
  <c r="N76" s="1"/>
  <c r="O73"/>
  <c r="O76" s="1"/>
  <c r="P73"/>
  <c r="J75"/>
  <c r="K75"/>
  <c r="L75"/>
  <c r="M75"/>
  <c r="N75"/>
  <c r="O75"/>
  <c r="P75"/>
  <c r="V75"/>
  <c r="Q76"/>
  <c r="R76"/>
  <c r="S76"/>
  <c r="T76"/>
  <c r="U76"/>
  <c r="Q77"/>
  <c r="R77"/>
  <c r="S77"/>
  <c r="T77"/>
  <c r="U77"/>
  <c r="R4"/>
  <c r="J8"/>
  <c r="K8"/>
  <c r="L8"/>
  <c r="M8"/>
  <c r="N8"/>
  <c r="O8"/>
  <c r="Q8"/>
  <c r="R8"/>
  <c r="R475" s="1"/>
  <c r="S8"/>
  <c r="S475" s="1"/>
  <c r="T8"/>
  <c r="U8"/>
  <c r="O37"/>
  <c r="O41" s="1"/>
  <c r="J41"/>
  <c r="K41"/>
  <c r="L41"/>
  <c r="M41"/>
  <c r="N41"/>
  <c r="P41"/>
  <c r="Q41"/>
  <c r="R41"/>
  <c r="S41"/>
  <c r="T41"/>
  <c r="U41"/>
  <c r="V41"/>
  <c r="P52"/>
  <c r="Q52"/>
  <c r="R52"/>
  <c r="S52"/>
  <c r="T52"/>
  <c r="U52"/>
  <c r="V52"/>
  <c r="J60"/>
  <c r="K60"/>
  <c r="L60"/>
  <c r="M60"/>
  <c r="N60"/>
  <c r="O60"/>
  <c r="P60"/>
  <c r="Q60"/>
  <c r="R60"/>
  <c r="S60"/>
  <c r="T60"/>
  <c r="U60"/>
  <c r="V60"/>
  <c r="Q96"/>
  <c r="R96"/>
  <c r="S96"/>
  <c r="T96"/>
  <c r="Q97"/>
  <c r="R97"/>
  <c r="S97"/>
  <c r="T97"/>
  <c r="Q98"/>
  <c r="R98"/>
  <c r="S98"/>
  <c r="T98"/>
  <c r="V480"/>
  <c r="V481"/>
  <c r="J86"/>
  <c r="K86"/>
  <c r="L86"/>
  <c r="M86"/>
  <c r="N86"/>
  <c r="O86"/>
  <c r="P86"/>
  <c r="Q86"/>
  <c r="Q88" s="1"/>
  <c r="R86"/>
  <c r="R88" s="1"/>
  <c r="S86"/>
  <c r="S88" s="1"/>
  <c r="T86"/>
  <c r="T88" s="1"/>
  <c r="U86"/>
  <c r="V86"/>
  <c r="Q89"/>
  <c r="R89"/>
  <c r="S89"/>
  <c r="T89"/>
  <c r="V508"/>
  <c r="V510" s="1"/>
  <c r="V511"/>
  <c r="V512"/>
  <c r="R123"/>
  <c r="S123"/>
  <c r="T123"/>
  <c r="U123"/>
  <c r="J138"/>
  <c r="K138"/>
  <c r="L138"/>
  <c r="M138"/>
  <c r="N138"/>
  <c r="O138"/>
  <c r="P138"/>
  <c r="Q138"/>
  <c r="Q141" s="1"/>
  <c r="R138"/>
  <c r="R141" s="1"/>
  <c r="S138"/>
  <c r="S141" s="1"/>
  <c r="T138"/>
  <c r="T141" s="1"/>
  <c r="U138"/>
  <c r="V138"/>
  <c r="Q149"/>
  <c r="R149"/>
  <c r="S149"/>
  <c r="T149"/>
  <c r="J314"/>
  <c r="K314"/>
  <c r="L314"/>
  <c r="M314"/>
  <c r="N314"/>
  <c r="O314"/>
  <c r="P314"/>
  <c r="Q314"/>
  <c r="R314"/>
  <c r="S314"/>
  <c r="T314"/>
  <c r="U314"/>
  <c r="V314"/>
  <c r="J323"/>
  <c r="K323"/>
  <c r="L331"/>
  <c r="M331"/>
  <c r="N331"/>
  <c r="O331"/>
  <c r="P331"/>
  <c r="N335" s="1"/>
  <c r="Q331"/>
  <c r="O335" s="1"/>
  <c r="R331"/>
  <c r="S331"/>
  <c r="Q335" s="1"/>
  <c r="T331"/>
  <c r="U331"/>
  <c r="V331"/>
  <c r="W332" s="1"/>
  <c r="L359"/>
  <c r="M359"/>
  <c r="N359"/>
  <c r="O359"/>
  <c r="P359"/>
  <c r="Q359"/>
  <c r="R359"/>
  <c r="S359"/>
  <c r="T359"/>
  <c r="U359"/>
  <c r="V359"/>
  <c r="L361"/>
  <c r="M361"/>
  <c r="N361"/>
  <c r="O361"/>
  <c r="P361"/>
  <c r="Q361"/>
  <c r="R361"/>
  <c r="S361"/>
  <c r="T361"/>
  <c r="P362"/>
  <c r="Q362"/>
  <c r="R362"/>
  <c r="S362"/>
  <c r="T362"/>
  <c r="U362"/>
  <c r="V362"/>
  <c r="U367"/>
  <c r="Q369"/>
  <c r="Q528" s="1"/>
  <c r="R369"/>
  <c r="R528" s="1"/>
  <c r="S369"/>
  <c r="S528" s="1"/>
  <c r="U369"/>
  <c r="L370"/>
  <c r="M370"/>
  <c r="N370"/>
  <c r="O370"/>
  <c r="P370"/>
  <c r="Q370"/>
  <c r="R370"/>
  <c r="S370"/>
  <c r="T370"/>
  <c r="T528"/>
  <c r="V533"/>
  <c r="V535" s="1"/>
  <c r="R380"/>
  <c r="R381"/>
  <c r="R374" s="1"/>
  <c r="R385"/>
  <c r="R375" s="1"/>
  <c r="R565" s="1"/>
  <c r="J387"/>
  <c r="K387"/>
  <c r="L387"/>
  <c r="M387"/>
  <c r="N387"/>
  <c r="O387"/>
  <c r="P387"/>
  <c r="Q387"/>
  <c r="S387"/>
  <c r="T387"/>
  <c r="U387"/>
  <c r="V387"/>
  <c r="J373"/>
  <c r="J563" s="1"/>
  <c r="K373"/>
  <c r="L373"/>
  <c r="L563" s="1"/>
  <c r="M373"/>
  <c r="M563" s="1"/>
  <c r="N373"/>
  <c r="N563" s="1"/>
  <c r="O373"/>
  <c r="O563" s="1"/>
  <c r="P373"/>
  <c r="P563" s="1"/>
  <c r="Q373"/>
  <c r="Q563" s="1"/>
  <c r="U373"/>
  <c r="U563" s="1"/>
  <c r="V373"/>
  <c r="V563" s="1"/>
  <c r="J374"/>
  <c r="J564" s="1"/>
  <c r="K374"/>
  <c r="K564" s="1"/>
  <c r="L374"/>
  <c r="L564" s="1"/>
  <c r="M374"/>
  <c r="M564" s="1"/>
  <c r="N374"/>
  <c r="N564" s="1"/>
  <c r="O374"/>
  <c r="O564" s="1"/>
  <c r="P374"/>
  <c r="P564" s="1"/>
  <c r="Q374"/>
  <c r="Q564" s="1"/>
  <c r="U374"/>
  <c r="U564" s="1"/>
  <c r="V374"/>
  <c r="V564" s="1"/>
  <c r="J375"/>
  <c r="K375"/>
  <c r="K565" s="1"/>
  <c r="L375"/>
  <c r="M375"/>
  <c r="M565" s="1"/>
  <c r="N375"/>
  <c r="N565" s="1"/>
  <c r="O375"/>
  <c r="O565" s="1"/>
  <c r="P375"/>
  <c r="P565" s="1"/>
  <c r="Q375"/>
  <c r="Q565" s="1"/>
  <c r="U375"/>
  <c r="U565" s="1"/>
  <c r="V375"/>
  <c r="V565" s="1"/>
  <c r="S376"/>
  <c r="S566" s="1"/>
  <c r="T376"/>
  <c r="R563"/>
  <c r="S563"/>
  <c r="T563"/>
  <c r="S564"/>
  <c r="T564"/>
  <c r="S565"/>
  <c r="T565"/>
  <c r="J585"/>
  <c r="J595" s="1"/>
  <c r="J586"/>
  <c r="J596" s="1"/>
  <c r="J587"/>
  <c r="J597" s="1"/>
  <c r="J588"/>
  <c r="J598" s="1"/>
  <c r="J589"/>
  <c r="J599" s="1"/>
  <c r="J590"/>
  <c r="J600" s="1"/>
  <c r="K591"/>
  <c r="K601" s="1"/>
  <c r="M591"/>
  <c r="M601" s="1"/>
  <c r="O591"/>
  <c r="O601" s="1"/>
  <c r="P591"/>
  <c r="Q591"/>
  <c r="R591"/>
  <c r="S591"/>
  <c r="T591"/>
  <c r="U591"/>
  <c r="K595"/>
  <c r="M595"/>
  <c r="O595"/>
  <c r="P595"/>
  <c r="Q595"/>
  <c r="R595"/>
  <c r="S595"/>
  <c r="T595"/>
  <c r="U595"/>
  <c r="K596"/>
  <c r="M596"/>
  <c r="O596"/>
  <c r="P596"/>
  <c r="Q596"/>
  <c r="R596"/>
  <c r="S596"/>
  <c r="T596"/>
  <c r="U596"/>
  <c r="K597"/>
  <c r="M597"/>
  <c r="O597"/>
  <c r="P597"/>
  <c r="Q597"/>
  <c r="R597"/>
  <c r="S597"/>
  <c r="T597"/>
  <c r="U597"/>
  <c r="K598"/>
  <c r="M598"/>
  <c r="O598"/>
  <c r="P598"/>
  <c r="Q598"/>
  <c r="R598"/>
  <c r="S598"/>
  <c r="T598"/>
  <c r="U598"/>
  <c r="K599"/>
  <c r="M599"/>
  <c r="O599"/>
  <c r="P599"/>
  <c r="Q599"/>
  <c r="R599"/>
  <c r="S599"/>
  <c r="T599"/>
  <c r="U599"/>
  <c r="K600"/>
  <c r="M600"/>
  <c r="O600"/>
  <c r="P600"/>
  <c r="Q600"/>
  <c r="R600"/>
  <c r="S600"/>
  <c r="T600"/>
  <c r="U600"/>
  <c r="N396"/>
  <c r="O396"/>
  <c r="P396"/>
  <c r="Q396"/>
  <c r="R396"/>
  <c r="S396"/>
  <c r="T396"/>
  <c r="U396"/>
  <c r="V396"/>
  <c r="W396"/>
  <c r="X396"/>
  <c r="X408" s="1"/>
  <c r="Y396"/>
  <c r="Y408" s="1"/>
  <c r="N403"/>
  <c r="O403"/>
  <c r="P403"/>
  <c r="Q403"/>
  <c r="R403"/>
  <c r="S403"/>
  <c r="T403"/>
  <c r="U403"/>
  <c r="V403"/>
  <c r="W403"/>
  <c r="X403"/>
  <c r="Y403"/>
  <c r="N404"/>
  <c r="O404"/>
  <c r="P404"/>
  <c r="Q404"/>
  <c r="R404"/>
  <c r="S404"/>
  <c r="T404"/>
  <c r="U404"/>
  <c r="V404"/>
  <c r="W404"/>
  <c r="X404"/>
  <c r="Y404"/>
  <c r="N405"/>
  <c r="N412" s="1"/>
  <c r="O405"/>
  <c r="P405"/>
  <c r="P412" s="1"/>
  <c r="Q405"/>
  <c r="R405"/>
  <c r="R412" s="1"/>
  <c r="S405"/>
  <c r="T405"/>
  <c r="T412" s="1"/>
  <c r="U405"/>
  <c r="V405"/>
  <c r="V412" s="1"/>
  <c r="W405"/>
  <c r="X405"/>
  <c r="X412" s="1"/>
  <c r="Y405"/>
  <c r="N406"/>
  <c r="N413" s="1"/>
  <c r="O406"/>
  <c r="O413" s="1"/>
  <c r="P406"/>
  <c r="P413" s="1"/>
  <c r="Q406"/>
  <c r="Q413" s="1"/>
  <c r="R406"/>
  <c r="R413" s="1"/>
  <c r="S406"/>
  <c r="S413" s="1"/>
  <c r="T406"/>
  <c r="T413" s="1"/>
  <c r="U406"/>
  <c r="U413" s="1"/>
  <c r="V406"/>
  <c r="V413" s="1"/>
  <c r="W406"/>
  <c r="W413" s="1"/>
  <c r="X406"/>
  <c r="X413" s="1"/>
  <c r="Y406"/>
  <c r="Y413" s="1"/>
  <c r="N407"/>
  <c r="N414" s="1"/>
  <c r="O407"/>
  <c r="O414" s="1"/>
  <c r="P407"/>
  <c r="Q407"/>
  <c r="Q414" s="1"/>
  <c r="R407"/>
  <c r="R414" s="1"/>
  <c r="S407"/>
  <c r="S414" s="1"/>
  <c r="T407"/>
  <c r="U407"/>
  <c r="U414" s="1"/>
  <c r="V407"/>
  <c r="V414" s="1"/>
  <c r="W407"/>
  <c r="W414" s="1"/>
  <c r="Y407"/>
  <c r="Y414" s="1"/>
  <c r="J426"/>
  <c r="K426"/>
  <c r="L426"/>
  <c r="M426"/>
  <c r="N426"/>
  <c r="O426"/>
  <c r="P426"/>
  <c r="Q426"/>
  <c r="R426"/>
  <c r="S426"/>
  <c r="T426"/>
  <c r="U426"/>
  <c r="V426"/>
  <c r="W426"/>
  <c r="X426"/>
  <c r="Y426"/>
  <c r="O629" s="1"/>
  <c r="O640" s="1"/>
  <c r="J436"/>
  <c r="K436"/>
  <c r="L436"/>
  <c r="M436"/>
  <c r="N436"/>
  <c r="O436"/>
  <c r="P436"/>
  <c r="Q436"/>
  <c r="R436"/>
  <c r="S436"/>
  <c r="T436"/>
  <c r="U436"/>
  <c r="V436"/>
  <c r="W436"/>
  <c r="P609" s="1"/>
  <c r="X436"/>
  <c r="Y436"/>
  <c r="Q609" s="1"/>
  <c r="J433"/>
  <c r="K433"/>
  <c r="L433"/>
  <c r="M433"/>
  <c r="N433"/>
  <c r="O433"/>
  <c r="P433"/>
  <c r="Q433"/>
  <c r="R433"/>
  <c r="S433"/>
  <c r="T433"/>
  <c r="U433"/>
  <c r="V433"/>
  <c r="W433"/>
  <c r="P610" s="1"/>
  <c r="X433"/>
  <c r="Y433"/>
  <c r="Q610" s="1"/>
  <c r="J434"/>
  <c r="K434"/>
  <c r="L434"/>
  <c r="M434"/>
  <c r="N434"/>
  <c r="O434"/>
  <c r="P434"/>
  <c r="Q434"/>
  <c r="R434"/>
  <c r="S434"/>
  <c r="T434"/>
  <c r="U434"/>
  <c r="V434"/>
  <c r="W434"/>
  <c r="P611" s="1"/>
  <c r="X434"/>
  <c r="Y434"/>
  <c r="Q611" s="1"/>
  <c r="J431"/>
  <c r="K431"/>
  <c r="L431"/>
  <c r="M431"/>
  <c r="N431"/>
  <c r="O431"/>
  <c r="P431"/>
  <c r="Q431"/>
  <c r="R431"/>
  <c r="S431"/>
  <c r="T431"/>
  <c r="U431"/>
  <c r="V431"/>
  <c r="W431"/>
  <c r="P612" s="1"/>
  <c r="X431"/>
  <c r="Y431"/>
  <c r="Q612" s="1"/>
  <c r="J432"/>
  <c r="K432"/>
  <c r="K437" s="1"/>
  <c r="L432"/>
  <c r="M432"/>
  <c r="N432"/>
  <c r="O432"/>
  <c r="O437" s="1"/>
  <c r="P432"/>
  <c r="Q432"/>
  <c r="R432"/>
  <c r="S432"/>
  <c r="T432"/>
  <c r="U432"/>
  <c r="V432"/>
  <c r="W432"/>
  <c r="X432"/>
  <c r="Y432"/>
  <c r="Q613" s="1"/>
  <c r="J430"/>
  <c r="K430"/>
  <c r="L430"/>
  <c r="M430"/>
  <c r="N430"/>
  <c r="O430"/>
  <c r="P430"/>
  <c r="Q430"/>
  <c r="R430"/>
  <c r="S430"/>
  <c r="T430"/>
  <c r="U430"/>
  <c r="V430"/>
  <c r="W430"/>
  <c r="P614" s="1"/>
  <c r="X430"/>
  <c r="Y430"/>
  <c r="Q614" s="1"/>
  <c r="X435"/>
  <c r="Y435"/>
  <c r="Q615" s="1"/>
  <c r="P615"/>
  <c r="O622"/>
  <c r="O633" s="1"/>
  <c r="O623"/>
  <c r="O634" s="1"/>
  <c r="O624"/>
  <c r="O635" s="1"/>
  <c r="O625"/>
  <c r="O636" s="1"/>
  <c r="O626"/>
  <c r="O637" s="1"/>
  <c r="O627"/>
  <c r="O638" s="1"/>
  <c r="O628"/>
  <c r="O639" s="1"/>
  <c r="J629"/>
  <c r="L629"/>
  <c r="N629"/>
  <c r="N640" s="1"/>
  <c r="J633"/>
  <c r="K633"/>
  <c r="L633"/>
  <c r="M633"/>
  <c r="N633"/>
  <c r="J634"/>
  <c r="K634"/>
  <c r="L634"/>
  <c r="M634"/>
  <c r="N634"/>
  <c r="J635"/>
  <c r="K635"/>
  <c r="L635"/>
  <c r="M635"/>
  <c r="N635"/>
  <c r="J636"/>
  <c r="K636"/>
  <c r="L636"/>
  <c r="M636"/>
  <c r="N636"/>
  <c r="J637"/>
  <c r="K637"/>
  <c r="L637"/>
  <c r="M637"/>
  <c r="N637"/>
  <c r="J638"/>
  <c r="K638"/>
  <c r="L638"/>
  <c r="M638"/>
  <c r="N638"/>
  <c r="N639"/>
  <c r="P76" l="1"/>
  <c r="P4" s="1"/>
  <c r="P8" s="1"/>
  <c r="L97"/>
  <c r="V141"/>
  <c r="N141"/>
  <c r="J141"/>
  <c r="W437"/>
  <c r="P616" s="1"/>
  <c r="S437"/>
  <c r="O51"/>
  <c r="O52" s="1"/>
  <c r="N97"/>
  <c r="L376"/>
  <c r="V376"/>
  <c r="P141"/>
  <c r="L141"/>
  <c r="U360"/>
  <c r="U361" s="1"/>
  <c r="P369"/>
  <c r="P528" s="1"/>
  <c r="J376"/>
  <c r="P89"/>
  <c r="P97"/>
  <c r="P376"/>
  <c r="V532"/>
  <c r="V534" s="1"/>
  <c r="M98"/>
  <c r="O96"/>
  <c r="S408"/>
  <c r="N89"/>
  <c r="J88"/>
  <c r="V97"/>
  <c r="J97"/>
  <c r="M149"/>
  <c r="V89"/>
  <c r="M376"/>
  <c r="V368"/>
  <c r="V370" s="1"/>
  <c r="R332"/>
  <c r="N332"/>
  <c r="U149"/>
  <c r="K141"/>
  <c r="U141"/>
  <c r="O141"/>
  <c r="M141"/>
  <c r="U89"/>
  <c r="O89"/>
  <c r="M89"/>
  <c r="U88"/>
  <c r="O88"/>
  <c r="M88"/>
  <c r="K88"/>
  <c r="U98"/>
  <c r="K96"/>
  <c r="K51"/>
  <c r="K52" s="1"/>
  <c r="K376"/>
  <c r="P332"/>
  <c r="K563"/>
  <c r="K566" s="1"/>
  <c r="O376"/>
  <c r="O369"/>
  <c r="O528" s="1"/>
  <c r="O149"/>
  <c r="O98"/>
  <c r="K98"/>
  <c r="U97"/>
  <c r="M97"/>
  <c r="M96"/>
  <c r="O77"/>
  <c r="M77"/>
  <c r="K77"/>
  <c r="U528"/>
  <c r="Y412"/>
  <c r="Y415" s="1"/>
  <c r="Q601"/>
  <c r="Q437"/>
  <c r="P613"/>
  <c r="U437"/>
  <c r="M437"/>
  <c r="Q412"/>
  <c r="Q415" s="1"/>
  <c r="L640"/>
  <c r="T566"/>
  <c r="U412"/>
  <c r="U415" s="1"/>
  <c r="J591"/>
  <c r="J601" s="1"/>
  <c r="V149"/>
  <c r="P149"/>
  <c r="N149"/>
  <c r="L88"/>
  <c r="V88"/>
  <c r="P88"/>
  <c r="N88"/>
  <c r="V98"/>
  <c r="P98"/>
  <c r="N98"/>
  <c r="L98"/>
  <c r="J98"/>
  <c r="V96"/>
  <c r="N96"/>
  <c r="L96"/>
  <c r="J96"/>
  <c r="R387"/>
  <c r="R482"/>
  <c r="N376"/>
  <c r="T601"/>
  <c r="R601"/>
  <c r="P601"/>
  <c r="U370"/>
  <c r="Q332"/>
  <c r="U332"/>
  <c r="J640"/>
  <c r="V408"/>
  <c r="T408"/>
  <c r="R408"/>
  <c r="P408"/>
  <c r="N408"/>
  <c r="P566"/>
  <c r="N566"/>
  <c r="T332"/>
  <c r="S332"/>
  <c r="O332"/>
  <c r="P77"/>
  <c r="N77"/>
  <c r="L77"/>
  <c r="J77"/>
  <c r="M640"/>
  <c r="K640"/>
  <c r="V437"/>
  <c r="T437"/>
  <c r="R437"/>
  <c r="P437"/>
  <c r="N437"/>
  <c r="L437"/>
  <c r="J437"/>
  <c r="W408"/>
  <c r="S412"/>
  <c r="S415" s="1"/>
  <c r="O408"/>
  <c r="S601"/>
  <c r="R564"/>
  <c r="R566" s="1"/>
  <c r="R376"/>
  <c r="V76"/>
  <c r="V4" s="1"/>
  <c r="V77"/>
  <c r="V369"/>
  <c r="V528" s="1"/>
  <c r="W76"/>
  <c r="W4" s="1"/>
  <c r="W369"/>
  <c r="W528" s="1"/>
  <c r="R415"/>
  <c r="P414"/>
  <c r="P415" s="1"/>
  <c r="T414"/>
  <c r="T415" s="1"/>
  <c r="W412"/>
  <c r="W415" s="1"/>
  <c r="O412"/>
  <c r="O415" s="1"/>
  <c r="U408"/>
  <c r="Q408"/>
  <c r="N415"/>
  <c r="U601"/>
  <c r="L565"/>
  <c r="L566" s="1"/>
  <c r="J565"/>
  <c r="J566" s="1"/>
  <c r="U376"/>
  <c r="R335"/>
  <c r="P335"/>
  <c r="S482"/>
  <c r="V332"/>
  <c r="V566"/>
  <c r="Q566"/>
  <c r="M566"/>
  <c r="V415"/>
  <c r="Y437"/>
  <c r="Q616" s="1"/>
  <c r="X415"/>
  <c r="X437"/>
  <c r="U566"/>
  <c r="O566"/>
  <c r="Q376"/>
  <c r="V8" l="1"/>
  <c r="V12"/>
  <c r="V15" s="1"/>
  <c r="W8"/>
  <c r="W12"/>
  <c r="W15" s="1"/>
</calcChain>
</file>

<file path=xl/comments1.xml><?xml version="1.0" encoding="utf-8"?>
<comments xmlns="http://schemas.openxmlformats.org/spreadsheetml/2006/main">
  <authors>
    <author>momiranda</author>
    <author>Todos Nosotros</author>
    <author>noe.ramirez</author>
  </authors>
  <commentList>
    <comment ref="I32" authorId="0">
      <text>
        <r>
          <rPr>
            <b/>
            <sz val="9"/>
            <color indexed="81"/>
            <rFont val="Tahoma"/>
            <family val="2"/>
          </rPr>
          <t>momiranda:</t>
        </r>
        <r>
          <rPr>
            <sz val="9"/>
            <color indexed="81"/>
            <rFont val="Tahoma"/>
            <family val="2"/>
          </rPr>
          <t xml:space="preserve">
Quitar a los que tienen plaza de técnico pero no están en actividades Científicas y/o Tecnológicas
</t>
        </r>
      </text>
    </comment>
    <comment ref="I96" authorId="1">
      <text>
        <r>
          <rPr>
            <b/>
            <sz val="8"/>
            <color indexed="81"/>
            <rFont val="Tahoma"/>
            <family val="2"/>
          </rPr>
          <t>Todos Nosotros: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367" authorId="2">
      <text>
        <r>
          <rPr>
            <b/>
            <sz val="9"/>
            <color indexed="81"/>
            <rFont val="Tahoma"/>
            <family val="2"/>
          </rPr>
          <t>Se obtiene de la suma de ingresos por proyectos + servicios del archivo de ingresos de Isai</t>
        </r>
      </text>
    </comment>
    <comment ref="I480" authorId="1">
      <text>
        <r>
          <rPr>
            <b/>
            <sz val="8"/>
            <color indexed="81"/>
            <rFont val="Tahoma"/>
            <family val="2"/>
          </rPr>
          <t>Todos Nosotros: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507" authorId="1">
      <text>
        <r>
          <rPr>
            <b/>
            <sz val="8"/>
            <color indexed="81"/>
            <rFont val="Tahoma"/>
            <family val="2"/>
          </rPr>
          <t>Incluye Fies y Sivilla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Todos Nosotros</author>
  </authors>
  <commentList>
    <comment ref="L26" authorId="0">
      <text>
        <r>
          <rPr>
            <b/>
            <sz val="12"/>
            <color indexed="81"/>
            <rFont val="Tahoma"/>
            <family val="2"/>
          </rPr>
          <t xml:space="preserve">Se incluiran nuevas publicaciones pasadas posterior al cierre enero
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L52" authorId="0">
      <text>
        <r>
          <rPr>
            <b/>
            <sz val="12"/>
            <color indexed="81"/>
            <rFont val="Tahoma"/>
            <family val="2"/>
          </rPr>
          <t xml:space="preserve">Se incluiran nuevas publicaciones pasadas posterior al cierre enero
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G73" authorId="0">
      <text>
        <r>
          <rPr>
            <b/>
            <sz val="12"/>
            <color indexed="81"/>
            <rFont val="Tahoma"/>
            <family val="2"/>
          </rPr>
          <t>Se incluiran nuevas publicaciones pasadas posterior al cierre enero</t>
        </r>
        <r>
          <rPr>
            <sz val="12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<sst xmlns="http://schemas.openxmlformats.org/spreadsheetml/2006/main" count="1277" uniqueCount="603">
  <si>
    <t>1996</t>
  </si>
  <si>
    <t>1997</t>
  </si>
  <si>
    <t>1998</t>
  </si>
  <si>
    <t>1995</t>
  </si>
  <si>
    <t>Otros</t>
  </si>
  <si>
    <t>Maestría</t>
  </si>
  <si>
    <t>Doctorado</t>
  </si>
  <si>
    <t>Personal Científico y Tecnológico por categoría y nivel</t>
  </si>
  <si>
    <t>Investigador Asociado</t>
  </si>
  <si>
    <t>Asistente de Investigación</t>
  </si>
  <si>
    <t>Técnico Académico Titular</t>
  </si>
  <si>
    <t>Técnico Académico Asociado</t>
  </si>
  <si>
    <t>Personal Científico y Tecnológico por grado académico</t>
  </si>
  <si>
    <t>Licenciatura</t>
  </si>
  <si>
    <t>Conacyt</t>
  </si>
  <si>
    <t>Sivilla</t>
  </si>
  <si>
    <t>FIES</t>
  </si>
  <si>
    <t>Alumnos de Licenciatura atendidos en el CIMAV</t>
  </si>
  <si>
    <t>Total de alumnos matriculados</t>
  </si>
  <si>
    <t>Fiscales</t>
  </si>
  <si>
    <t>Propios</t>
  </si>
  <si>
    <t>Total</t>
  </si>
  <si>
    <t>1999</t>
  </si>
  <si>
    <t>Sector Productivo</t>
  </si>
  <si>
    <t>Sector Público</t>
  </si>
  <si>
    <t>2000</t>
  </si>
  <si>
    <t>SERVICIOS PERSONALES</t>
  </si>
  <si>
    <t>MATERIALES Y SUMINISTROS</t>
  </si>
  <si>
    <t>SERVICIOS GENERALES</t>
  </si>
  <si>
    <t>TRANSFERENCIAS</t>
  </si>
  <si>
    <t>BIENES MUEBLES E INMUEBLES</t>
  </si>
  <si>
    <t>OBRA PÚBLICA</t>
  </si>
  <si>
    <t>TOTAL</t>
  </si>
  <si>
    <t>Investigadores en el SNI</t>
  </si>
  <si>
    <t>Maestría en Ciencia y Tecnología Ambiental</t>
  </si>
  <si>
    <t>Doctorado en Ciencia y Tecnología Ambiental</t>
  </si>
  <si>
    <t>Maestría en Ciencia de Materiales</t>
  </si>
  <si>
    <t>Doctorado en Ciencia de Materiales</t>
  </si>
  <si>
    <t>Mediana y Gran Empresa Nacional</t>
  </si>
  <si>
    <t>Industria Maquiladora de Exportación</t>
  </si>
  <si>
    <t>Micro y Pequeña Empresa</t>
  </si>
  <si>
    <t>Sector Público e Institucional</t>
  </si>
  <si>
    <t>Personal Académico</t>
  </si>
  <si>
    <t>Investigadores</t>
  </si>
  <si>
    <t>2001</t>
  </si>
  <si>
    <t>T o t a l</t>
  </si>
  <si>
    <t>Candidato</t>
  </si>
  <si>
    <t>*Incluye al Director General</t>
  </si>
  <si>
    <t>Totales</t>
  </si>
  <si>
    <t>Servicios Personales</t>
  </si>
  <si>
    <t>Materiales y Suministros</t>
  </si>
  <si>
    <t>Servicios Generales</t>
  </si>
  <si>
    <t>Transferencias</t>
  </si>
  <si>
    <t>Bienes Muebles e Inmuebles</t>
  </si>
  <si>
    <t>Obra Pública</t>
  </si>
  <si>
    <t>2002</t>
  </si>
  <si>
    <t>Nivel I</t>
  </si>
  <si>
    <t>Nivel II</t>
  </si>
  <si>
    <t>Nivel III</t>
  </si>
  <si>
    <t xml:space="preserve">Graduados de Maestría </t>
  </si>
  <si>
    <t>Graduados de Doctorado</t>
  </si>
  <si>
    <t>CONACYT</t>
  </si>
  <si>
    <t>Vinculación</t>
  </si>
  <si>
    <t>Total de Investigadores</t>
  </si>
  <si>
    <t>Estudiantes matriculados en posgrado por programa</t>
  </si>
  <si>
    <t>Convenios vigentes por sector</t>
  </si>
  <si>
    <t>Distribución de clientes por sector</t>
  </si>
  <si>
    <t>No. de Servicios</t>
  </si>
  <si>
    <t>PRESUPUESTO EJERCIDO FISCALES POR CAP. DE GASTO NOMINALES</t>
  </si>
  <si>
    <t>PRESUPUESTO EJERCIDO FISCALES POR CAP. DE GASTO NOMINALES EN MILES</t>
  </si>
  <si>
    <t>2003</t>
  </si>
  <si>
    <t>Sector Académico</t>
  </si>
  <si>
    <t>2004</t>
  </si>
  <si>
    <t>Investigador (Inc. Director Gral.)</t>
  </si>
  <si>
    <t>Técnico</t>
  </si>
  <si>
    <t>Investigadores en el SNI por niveles</t>
  </si>
  <si>
    <t>Índice Total</t>
  </si>
  <si>
    <t>Índice Revistas</t>
  </si>
  <si>
    <t>Índice: alumnos por investigador</t>
  </si>
  <si>
    <t>AVANCE</t>
  </si>
  <si>
    <t>PRODUCTIVIDAD ECONOMICA POR PERSONAL ACADÉMICO/CLIENTE</t>
  </si>
  <si>
    <t xml:space="preserve">Investigador Titular </t>
  </si>
  <si>
    <t>2005</t>
  </si>
  <si>
    <t>2006</t>
  </si>
  <si>
    <t>Indicador/Fórmula</t>
  </si>
  <si>
    <t>Publicaciones c/arbitraje</t>
  </si>
  <si>
    <t>n.a</t>
  </si>
  <si>
    <t>Tiempo de Graduación Maestría</t>
  </si>
  <si>
    <t>Tiempo de Graduación Doctorado</t>
  </si>
  <si>
    <t>Eficiencia Terminal Maestría</t>
  </si>
  <si>
    <t>Eficiencia Terminal Doctorado</t>
  </si>
  <si>
    <t>Programas de posgrado en PIFOP o PNP</t>
  </si>
  <si>
    <t>Ingresos Propios/Total de Ingresos</t>
  </si>
  <si>
    <t>Ingresos Extraordinarios/Total de Ingresos</t>
  </si>
  <si>
    <t>8,535 / 92,836 x 100 = 9.2</t>
  </si>
  <si>
    <t>12,626 / 92,836 x 100 = 13.6</t>
  </si>
  <si>
    <t>FORMATO VII.8</t>
  </si>
  <si>
    <t>ENTIDAD:    CENTRO DE INVESTIGACIÓN EN MATERIALES AVANZADOS, S.C. (CIMAV)</t>
  </si>
  <si>
    <t>Objetivo</t>
  </si>
  <si>
    <t>Unidad de Medida</t>
  </si>
  <si>
    <t>Programado*</t>
  </si>
  <si>
    <t>Alcanzado</t>
  </si>
  <si>
    <t>Programado</t>
  </si>
  <si>
    <t xml:space="preserve">Generar conocimiento mediante la realización de investigación básica orientada, aplicada y desarrollo tecnológico con criterios de excelencia y pertinencia, en los ámbitos de la Ciencia de los Materiales y de la Ciencia y Tecnología Ambiental, para su aprovechamiento por el sector productivo,  académico y social </t>
  </si>
  <si>
    <t>1.  Artículos con arbitraje publicados en revistas de circulación internacional / No. de investigadores</t>
  </si>
  <si>
    <t>57/38 = 1.5</t>
  </si>
  <si>
    <t>78/38=2.1</t>
  </si>
  <si>
    <t>65 / 40 = 1.6</t>
  </si>
  <si>
    <t>79/37 = 2.1</t>
  </si>
  <si>
    <t>45/42 = 1.1</t>
  </si>
  <si>
    <t>49/36 = 1.4</t>
  </si>
  <si>
    <t xml:space="preserve">2.    Artículos Publicados en Memorias de Congreso Internacional con arbitraje/No. de Investigadores    </t>
  </si>
  <si>
    <t>43/42 = 1.0</t>
  </si>
  <si>
    <t>52/36 = 1.4</t>
  </si>
  <si>
    <t>3.  (No. de investigadores en el SNI/Total de investigadores) x 100</t>
  </si>
  <si>
    <t>Porcentaje</t>
  </si>
  <si>
    <t>24/38x100 = 63.2</t>
  </si>
  <si>
    <t>21/38x100 = 55.3</t>
  </si>
  <si>
    <t>24/40 x 100 = 60.0</t>
  </si>
  <si>
    <t>25/37 x 100 = 67.6</t>
  </si>
  <si>
    <t>27/42 x 100 = 64.3</t>
  </si>
  <si>
    <t>29/36 x 100 = 80.6</t>
  </si>
  <si>
    <t>Formar recursos humanos con la preparación y habilidades requeridas en los campos de la Ciencia de los Materiales y de la Ciencia y Tecnología Ambiental, a través de programas de posgrado de excelencia,  para su inserción en los sectores productivo y académico regional y nacional.</t>
  </si>
  <si>
    <t>4.  Sumatoria del número de años para la titulación de los graduados en el año en programas de maestría / Número de graduados de maestría en el año</t>
  </si>
  <si>
    <t>Años</t>
  </si>
  <si>
    <t>31.2/12=2.6</t>
  </si>
  <si>
    <t>18.92/7=2.7</t>
  </si>
  <si>
    <t>33.8/13 = 2.6</t>
  </si>
  <si>
    <t>30.2/12 = 2.5</t>
  </si>
  <si>
    <t>44.2/17 = 2.6</t>
  </si>
  <si>
    <t>44.7/15 = 3.0</t>
  </si>
  <si>
    <t>5.  Sumatoria del número de años para la titulación de los graduados en el año en programas de doctorado / Número de graduados de doctorado en el año</t>
  </si>
  <si>
    <t>19.32/4=4.8</t>
  </si>
  <si>
    <t>17.92/5=3.6</t>
  </si>
  <si>
    <t>37.6/8 = 4.7</t>
  </si>
  <si>
    <t>46.5/11 = 4.2</t>
  </si>
  <si>
    <t>85.5/19 = 4.5</t>
  </si>
  <si>
    <t>73.1/15 = 4.9</t>
  </si>
  <si>
    <t>6. (Grados de maestría conferidos a estudiantes graduados en 3 años o menos de la generación n-3 / número de estudiantes que ingresaron a la maestría en la generación n-3)x100</t>
  </si>
  <si>
    <t>14/25 x 100 = 56.0</t>
  </si>
  <si>
    <t>13/18 x 100 = 72.2</t>
  </si>
  <si>
    <t>10/18 x 100 = 55.6</t>
  </si>
  <si>
    <t>7. (Grados de doctorado conferidos a estudiantes graduados en 5 años o menos de la generación n-5 / número de estudiantes que ingresaron al doctorado en la generación n-5)x100</t>
  </si>
  <si>
    <t>4/7 x 100 = 57.1</t>
  </si>
  <si>
    <t>9/16 x 100 = 56.3</t>
  </si>
  <si>
    <t>8.  (No. de investigadores en formación de recursos humanos/Total de investigadores) x 100</t>
  </si>
  <si>
    <t>33/38x100=86.8</t>
  </si>
  <si>
    <t>35/40 x 100 = 87.5</t>
  </si>
  <si>
    <t>37/37 x 100 = 100</t>
  </si>
  <si>
    <t>39/42 x 100 = 92.9</t>
  </si>
  <si>
    <t>34/36 x 100 = 94.4</t>
  </si>
  <si>
    <t>9.  (Programas de posgrado en el PIFOP o PNP/Total de programas de posgrado del CIMAV ) x 100</t>
  </si>
  <si>
    <t>4/4x100=100</t>
  </si>
  <si>
    <t>4/4 x 100 = 100.0</t>
  </si>
  <si>
    <t>Transferir el conocimiento generado en los ámbitos de competencia del Centro a los sectores productivo, académico y social.</t>
  </si>
  <si>
    <t>10.  (Ingresos Propios*/Total de Ingresos) x 100</t>
  </si>
  <si>
    <t>5,500/76,597x100=7.2</t>
  </si>
  <si>
    <t>5,768/74,941x100=7.7</t>
  </si>
  <si>
    <t>4,000/   68,828 x 100 = 5.8</t>
  </si>
  <si>
    <t>4,386/72,056 x 100 = 6.1</t>
  </si>
  <si>
    <t>6,000/   84,713 x 100 = 7.1</t>
  </si>
  <si>
    <t>5,995/ 93,706 x 100 = 6.4</t>
  </si>
  <si>
    <t>11.  (Ingresos Extraordinarios**/Total de Ingresos) x 100</t>
  </si>
  <si>
    <t>8,400/76,597x100=11</t>
  </si>
  <si>
    <t>4,970/74,941x100=6.6</t>
  </si>
  <si>
    <t>2,500/   68,828 x 100 = 3.6</t>
  </si>
  <si>
    <t>3,854/72,056 x 100 = 5.1</t>
  </si>
  <si>
    <t>5,000/   84,713 x 100 = 5.9</t>
  </si>
  <si>
    <t>5,397/ 93,706 x 100 = 6.0</t>
  </si>
  <si>
    <t>*Notas:  En 2001 y 2002 el indicador/meta relativo a publicaciones manejaba conjuntamente publicaciones en revistas y en extenso en memorias de congreso internacional</t>
  </si>
  <si>
    <t xml:space="preserve">             En 2001 los indicadores/metas 6 y 7 estaban excluídos del paquete de indicadores estratégicos</t>
  </si>
  <si>
    <t xml:space="preserve">             La incorporación de indicadores/metas anteriores obedeció a una recomendación que al respecto emitiera el Consejo de Administración</t>
  </si>
  <si>
    <t>2001 Programado</t>
  </si>
  <si>
    <t>2001 Alcanzado</t>
  </si>
  <si>
    <t>2002 Programado</t>
  </si>
  <si>
    <t>2002 Alcanzado</t>
  </si>
  <si>
    <t>2003 Programado</t>
  </si>
  <si>
    <t>2003 Alcanzado</t>
  </si>
  <si>
    <t>2004 Programado</t>
  </si>
  <si>
    <t>2004 Alcanzado</t>
  </si>
  <si>
    <t>Artículos con arbitraje publicados en revistas de circulación internacional por investigador</t>
  </si>
  <si>
    <t>Artículos Publicados en Memorias de Congreso Internacional con arbitraje por investigador</t>
  </si>
  <si>
    <t>Artículos Publicados en Memorias de Congreso Internacional con arbitraje por investigador. Programado</t>
  </si>
  <si>
    <t>Artículos Publicados en Memorias de Congreso Internacional con arbitraje por investigador. Alcanzado</t>
  </si>
  <si>
    <t>Investigadores en el S N I. Programado</t>
  </si>
  <si>
    <t>Investigadores en el S N I. Alcanzado</t>
  </si>
  <si>
    <t>Tiempo de Graduación Maestría. Programado</t>
  </si>
  <si>
    <t>Tiempo de Graduación Maestría. Alcanzado</t>
  </si>
  <si>
    <t>Tiempo de Graduación Doctorado. Programado</t>
  </si>
  <si>
    <t>Tiempo de Graduación Doctorado. Alcanzado</t>
  </si>
  <si>
    <t>Eficiencia Terminal Maestría. Programado</t>
  </si>
  <si>
    <t>Eficiencia Terminal Maestría. Alcanzado</t>
  </si>
  <si>
    <t>Eficiencia Terminal Doctorado. Programado</t>
  </si>
  <si>
    <t>Eficiencia Terminal Doctorado. Alcanzado</t>
  </si>
  <si>
    <t>Ingresos Extraordinarios/Total de Ingresos. Programado</t>
  </si>
  <si>
    <t>Ingresos Extraordinarios/Total de Ingresos. Alcanzado</t>
  </si>
  <si>
    <t>8,500/91,924 x 100 = 9.2</t>
  </si>
  <si>
    <t>5,500/91,924 x 100 = 6.0</t>
  </si>
  <si>
    <t xml:space="preserve"> </t>
  </si>
  <si>
    <t>Fondos Sect/Mixtos</t>
  </si>
  <si>
    <t>(No. de investigadores en formación de recursos humanos/Total de investigadores) x 100</t>
  </si>
  <si>
    <t>2005 Programado</t>
  </si>
  <si>
    <t>2005 Alcanzado</t>
  </si>
  <si>
    <t>Servicio social</t>
  </si>
  <si>
    <t>Prácticas profesionales</t>
  </si>
  <si>
    <t>Artículos con arbitraje publicados en revistas de circulación internacional indexadas por investigador</t>
  </si>
  <si>
    <t>Artículos con arbitraje publicados en revistas de circulación internacional indexadas por investigador. Programado</t>
  </si>
  <si>
    <t>Artículos con arbitraje publicados en revistas de circulación internacional indexadas por investigador. Alcanzado</t>
  </si>
  <si>
    <t>Venta de Servicios       11,616  12,444 </t>
  </si>
  <si>
    <t>        Productos Financieros   226            </t>
  </si>
  <si>
    <t>       Diversos posgrados, rec. Seguros 602            </t>
  </si>
  <si>
    <t>       Provenientes de Conacyt  31,627         </t>
  </si>
  <si>
    <t>       Subsidios del Gobierno Federal   88,311  100,755</t>
  </si>
  <si>
    <t>       Otros Ingresos  (1) Fideicomiso  4,026   12.4   </t>
  </si>
  <si>
    <t> SUMAN LOS INGRESOS     136,408        </t>
  </si>
  <si>
    <t>Entonces el resultado del indicador es:</t>
  </si>
  <si>
    <t>12,444/100,755 = 12.4</t>
  </si>
  <si>
    <t>Investigadores en formación de recursos humanos/ Total de Investigadores</t>
  </si>
  <si>
    <t>Apoyo a las Actividades Sustantivas</t>
  </si>
  <si>
    <t>Administrativo</t>
  </si>
  <si>
    <t xml:space="preserve">Total  </t>
  </si>
  <si>
    <t>2006 Programado</t>
  </si>
  <si>
    <t>2006 Alcanzado</t>
  </si>
  <si>
    <t>N° de Proyectos</t>
  </si>
  <si>
    <t>Diciembre 2006</t>
  </si>
  <si>
    <t>Consorcios</t>
  </si>
  <si>
    <t>PIADET</t>
  </si>
  <si>
    <t>Fondos ( Mixtos, Sectoriales e Institucionales)</t>
  </si>
  <si>
    <t>Ingresos por Servicios (miles $)</t>
  </si>
  <si>
    <t>Precio promedio por servicio (miles $ )</t>
  </si>
  <si>
    <t>Ingresos por Servicios por Personal Académico (miles $ )</t>
  </si>
  <si>
    <t>Indicador</t>
  </si>
  <si>
    <r>
      <t>Progr</t>
    </r>
    <r>
      <rPr>
        <u/>
        <sz val="11"/>
        <rFont val="Arial"/>
        <family val="2"/>
      </rPr>
      <t>a</t>
    </r>
  </si>
  <si>
    <t>mado</t>
  </si>
  <si>
    <r>
      <t>Alcanz</t>
    </r>
    <r>
      <rPr>
        <u/>
        <sz val="11"/>
        <rFont val="Arial"/>
        <family val="2"/>
      </rPr>
      <t>a</t>
    </r>
  </si>
  <si>
    <t>do</t>
  </si>
  <si>
    <t>1.  Artículos con arbitraje publicados en revistas de circulación internacional indexadas/ No. de investigadores</t>
  </si>
  <si>
    <t xml:space="preserve">33/38 =   </t>
  </si>
  <si>
    <t xml:space="preserve">37/38  =   </t>
  </si>
  <si>
    <t xml:space="preserve">40/40 = </t>
  </si>
  <si>
    <t xml:space="preserve">42/37 = </t>
  </si>
  <si>
    <t xml:space="preserve">45/42 =    </t>
  </si>
  <si>
    <t xml:space="preserve">49/36 = </t>
  </si>
  <si>
    <t xml:space="preserve">57/35 = </t>
  </si>
  <si>
    <t>63/37 =</t>
  </si>
  <si>
    <t>67/36= 1.9</t>
  </si>
  <si>
    <r>
      <t xml:space="preserve">2.    Artículos Publicados </t>
    </r>
    <r>
      <rPr>
        <i/>
        <sz val="11"/>
        <rFont val="Arial"/>
        <family val="2"/>
      </rPr>
      <t xml:space="preserve">in extenso </t>
    </r>
    <r>
      <rPr>
        <sz val="11"/>
        <rFont val="Arial"/>
        <family val="2"/>
      </rPr>
      <t xml:space="preserve">en Memorias de Congreso Internacional con arbitraje/No. de Investigadores </t>
    </r>
  </si>
  <si>
    <t xml:space="preserve">24/38 = </t>
  </si>
  <si>
    <t xml:space="preserve">41/38 = </t>
  </si>
  <si>
    <t xml:space="preserve">37/37 = </t>
  </si>
  <si>
    <t xml:space="preserve">43/42 =        </t>
  </si>
  <si>
    <t xml:space="preserve">52/36 = </t>
  </si>
  <si>
    <t xml:space="preserve">36/37 = </t>
  </si>
  <si>
    <t xml:space="preserve">70/35 = </t>
  </si>
  <si>
    <t>40/37 =</t>
  </si>
  <si>
    <t>52/36=</t>
  </si>
  <si>
    <t xml:space="preserve">24/38 x 100 =  </t>
  </si>
  <si>
    <t xml:space="preserve">21/38 x 100 = </t>
  </si>
  <si>
    <t xml:space="preserve">24/40 x 100 = </t>
  </si>
  <si>
    <t xml:space="preserve">25/37 x 100 = </t>
  </si>
  <si>
    <t xml:space="preserve">27/42 x 100 = </t>
  </si>
  <si>
    <t xml:space="preserve">29/36 x 100 = </t>
  </si>
  <si>
    <t xml:space="preserve">30/37 x 100 = </t>
  </si>
  <si>
    <t xml:space="preserve">34/35 x 100 = </t>
  </si>
  <si>
    <t>36/37 x 100 = 97.3</t>
  </si>
  <si>
    <t>36/36 x 100 = 100.0</t>
  </si>
  <si>
    <t>31.2/12= 2.6</t>
  </si>
  <si>
    <t>18.92/7= 2.7</t>
  </si>
  <si>
    <t>33.8/13=  2.6</t>
  </si>
  <si>
    <t>30.2/12= 2.5</t>
  </si>
  <si>
    <t>44.2/17=  2.6</t>
  </si>
  <si>
    <t>44.7/15=  3.0</t>
  </si>
  <si>
    <t>42/15   = 2.8</t>
  </si>
  <si>
    <t>43.6/15= 2.9</t>
  </si>
  <si>
    <t>52.6/18 = 2.9</t>
  </si>
  <si>
    <t>85.8/28 =3.1</t>
  </si>
  <si>
    <t>19.32/4</t>
  </si>
  <si>
    <t xml:space="preserve">  = 4.8</t>
  </si>
  <si>
    <t>17.92/5</t>
  </si>
  <si>
    <t xml:space="preserve">  = 3.6</t>
  </si>
  <si>
    <t>46.5/11</t>
  </si>
  <si>
    <t xml:space="preserve"> = 4.2</t>
  </si>
  <si>
    <t>85.5/19</t>
  </si>
  <si>
    <t xml:space="preserve"> = 4.5</t>
  </si>
  <si>
    <t>73.1/15</t>
  </si>
  <si>
    <t xml:space="preserve"> = 4.9</t>
  </si>
  <si>
    <t xml:space="preserve"> 40.5/9</t>
  </si>
  <si>
    <t xml:space="preserve">53.6/12 </t>
  </si>
  <si>
    <t>67.2/15 = 4.5</t>
  </si>
  <si>
    <t>55.7/13 = 4.3</t>
  </si>
  <si>
    <t>n.a.</t>
  </si>
  <si>
    <t xml:space="preserve">14/25 x 100 = </t>
  </si>
  <si>
    <t xml:space="preserve">44/70 x 100 = </t>
  </si>
  <si>
    <t xml:space="preserve">43/70 x 100 = </t>
  </si>
  <si>
    <t xml:space="preserve">13/18 x 100 = </t>
  </si>
  <si>
    <t xml:space="preserve">10/18 x 100 = </t>
  </si>
  <si>
    <t xml:space="preserve">12/19 x 100 = </t>
  </si>
  <si>
    <t xml:space="preserve">9/19 x 100 = </t>
  </si>
  <si>
    <t>18/23 x 100   =</t>
  </si>
  <si>
    <t xml:space="preserve">15/23 x 100 = </t>
  </si>
  <si>
    <t xml:space="preserve">4/7 x 100 = </t>
  </si>
  <si>
    <t xml:space="preserve">17/35 x 100 = </t>
  </si>
  <si>
    <t xml:space="preserve">20/35 x 100 = </t>
  </si>
  <si>
    <t xml:space="preserve">9/16 x 100 = </t>
  </si>
  <si>
    <t xml:space="preserve">7/12 x 100 = </t>
  </si>
  <si>
    <t>16/21 x 100   =</t>
  </si>
  <si>
    <t xml:space="preserve">14/21 x 100 = </t>
  </si>
  <si>
    <t>33/38 x 100 =</t>
  </si>
  <si>
    <t>35/40 x 100 =</t>
  </si>
  <si>
    <t>37/37 x 100 = 100.0</t>
  </si>
  <si>
    <t>39/42 x 100 =</t>
  </si>
  <si>
    <t>34/36 x 100 =</t>
  </si>
  <si>
    <t>34/37 x 100 =</t>
  </si>
  <si>
    <t>34/35 x 100 =</t>
  </si>
  <si>
    <t>35/37 x 100 = 94.6</t>
  </si>
  <si>
    <t>35/36 x 100 = 97.2</t>
  </si>
  <si>
    <t>4/4x</t>
  </si>
  <si>
    <t>100=</t>
  </si>
  <si>
    <t>4/4 x 100 =   100.0</t>
  </si>
  <si>
    <r>
      <t>10.  (Ingresos Propios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>/Total de Ingresos) x 100</t>
    </r>
  </si>
  <si>
    <t>5,500/ 76,597x 100 =   7.2</t>
  </si>
  <si>
    <t>5,768/ 74,941x 100  =  7.7</t>
  </si>
  <si>
    <t>4,000/   68,828 x 100  =   5.8</t>
  </si>
  <si>
    <t>4,386/ 72,056 x 100 =   6.1</t>
  </si>
  <si>
    <t>6,000/   84,713 x 100 =   7.1</t>
  </si>
  <si>
    <t>5,995/ 93,706 x 100 =   6.4</t>
  </si>
  <si>
    <t>8,500/ 91,924 x 100 =   9.2</t>
  </si>
  <si>
    <t>8,535 / 92,836 x 100 =   9.2</t>
  </si>
  <si>
    <t>11,600/94,454 x 100= 12.3</t>
  </si>
  <si>
    <t>12,444/ 100,755 x 100 = 12.4</t>
  </si>
  <si>
    <r>
      <t xml:space="preserve">11.  (Ingresos Extraordinarios 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>/ Total de Ingresos) x 100</t>
    </r>
  </si>
  <si>
    <t>8,400/76,597x 100=           11</t>
  </si>
  <si>
    <t>4,970/74,941x 100=  6.6</t>
  </si>
  <si>
    <t>-o-</t>
  </si>
  <si>
    <t xml:space="preserve">Graduados por Investigador </t>
  </si>
  <si>
    <t>PRESUPUESTO EJERCIDO FISCALES POR CAP. DE GASTO NOMINALES EN MILLONES</t>
  </si>
  <si>
    <t>44/70 x 100 = 62.9</t>
  </si>
  <si>
    <t>43/70 x 100 = 61.4</t>
  </si>
  <si>
    <t>17/35 x 100 = 48.6</t>
  </si>
  <si>
    <t>20/35 x 100= 57.1</t>
  </si>
  <si>
    <t>Incremento</t>
  </si>
  <si>
    <t>Tecnicos por investigador</t>
  </si>
  <si>
    <t>Clientes que repiten servicios</t>
  </si>
  <si>
    <t xml:space="preserve">Porcentaje </t>
  </si>
  <si>
    <t>Proyectos Vigentes de Vinculación/Investigador</t>
  </si>
  <si>
    <t>Se incluye al Director General</t>
  </si>
  <si>
    <t>2007</t>
  </si>
  <si>
    <t>Diciembre 2007</t>
  </si>
  <si>
    <t>Maestría en Educación Científica</t>
  </si>
  <si>
    <t>SERVICIOS AL SECTOR PRODUCTIVO Y SOCIAL Nominales</t>
  </si>
  <si>
    <t>Índice de Proyectos por Investigador</t>
  </si>
  <si>
    <t>Índice de Proyectos de Vinculación  por Investigador</t>
  </si>
  <si>
    <t>Tiempo Promedio Graduación Doctorado</t>
  </si>
  <si>
    <t>Tiempo Promedio Graduación Maestría</t>
  </si>
  <si>
    <t>Ingresos por Proyectos y Servicios (miles $)</t>
  </si>
  <si>
    <t>Personal Científico-Tecnológico</t>
  </si>
  <si>
    <t>Ingresos por Persona (miles $)</t>
  </si>
  <si>
    <t>2007 Programado</t>
  </si>
  <si>
    <t>2007 Alcanzado</t>
  </si>
  <si>
    <t>(Recursos Autogenerados+Ingresos Diversos)    /    (Ingresos Fiscales +Recursos Autogenerados +Ingresos Diversos) x  100. Programado</t>
  </si>
  <si>
    <t>(Recursos Autogenerados+Ingresos Diversos)   /   (Ingresos Fiscales +Recursos Autogenerados +Ingresos Diversos) x  100. Alcanzado</t>
  </si>
  <si>
    <t>Otros ( Colaboración: Redes, Universidades, Tecnológicos e Instituciones Nacionales e Internacionales)</t>
  </si>
  <si>
    <t>Negociación Directa con Empresa</t>
  </si>
  <si>
    <t>Solicitudes de Registro de Patente</t>
  </si>
  <si>
    <t>Ingresos por Investigador (miles $)</t>
  </si>
  <si>
    <t>Citas Promedio por Investigador</t>
  </si>
  <si>
    <t>Fondo Institucional</t>
  </si>
  <si>
    <t>Cap. 1000</t>
  </si>
  <si>
    <t>Cap. 2000</t>
  </si>
  <si>
    <t>Cap. 3000</t>
  </si>
  <si>
    <t>Cap. 4000</t>
  </si>
  <si>
    <t>Cap. 5000</t>
  </si>
  <si>
    <t>Cap. 6000</t>
  </si>
  <si>
    <t>(Miles de Pesos)</t>
  </si>
  <si>
    <t>Programado 2005</t>
  </si>
  <si>
    <t xml:space="preserve"> Captado 2005</t>
  </si>
  <si>
    <t>Programado 2006</t>
  </si>
  <si>
    <t xml:space="preserve"> Captado 2006</t>
  </si>
  <si>
    <t>Programado 2007</t>
  </si>
  <si>
    <t xml:space="preserve"> Captado 2007</t>
  </si>
  <si>
    <t xml:space="preserve">       Venta de Servicios</t>
  </si>
  <si>
    <t xml:space="preserve">       Productos Financieros</t>
  </si>
  <si>
    <t xml:space="preserve">       Diversos</t>
  </si>
  <si>
    <t xml:space="preserve">       Fuentes Externas</t>
  </si>
  <si>
    <t xml:space="preserve">       Subsidios del Gobierno Federal</t>
  </si>
  <si>
    <t xml:space="preserve">       Otros Ingresos  (1)</t>
  </si>
  <si>
    <t>Millones de Pesos</t>
  </si>
  <si>
    <t>Concepto</t>
  </si>
  <si>
    <t>Programado  2005</t>
  </si>
  <si>
    <t>Ejercido 2005</t>
  </si>
  <si>
    <t>Programado  2006</t>
  </si>
  <si>
    <t>Ejercido 2006</t>
  </si>
  <si>
    <t>Programado  2007</t>
  </si>
  <si>
    <t>Ejercido 2007</t>
  </si>
  <si>
    <t>INGRESO FISCALES Y PROPIOS PROGRAMADO Y CAPTADO  (NOMINAL)</t>
  </si>
  <si>
    <t>INGRESOS TOTALES (NOMINALES)</t>
  </si>
  <si>
    <t>Programado  2003</t>
  </si>
  <si>
    <t>Ejercido 2003</t>
  </si>
  <si>
    <t>Programado  2004</t>
  </si>
  <si>
    <t>Ejercido 2004</t>
  </si>
  <si>
    <t>Artículos con  Arbitraje publicados por Investigador</t>
  </si>
  <si>
    <t>2008</t>
  </si>
  <si>
    <t>Personal Científico</t>
  </si>
  <si>
    <t>Programado 2008</t>
  </si>
  <si>
    <t xml:space="preserve"> Captado 2008</t>
  </si>
  <si>
    <t>Programado  2008</t>
  </si>
  <si>
    <t>Ejercido 2008</t>
  </si>
  <si>
    <t>Diciembre 2008</t>
  </si>
  <si>
    <t>PRESUPUESTO FISCAL Y PROPIOS PROGRAMADO Y EJERCIDO NOMINAL (Miles)</t>
  </si>
  <si>
    <t>PRESUPUESTO FISCAL Y PROPIOS PROGRAMADO Y EJERCIDO NOMINAL (Millones)</t>
  </si>
  <si>
    <t>PRESUPUESTO FISCAL Y PROPIOS MODIFICADO Y EJERCIDO NOMINAL (Miles)</t>
  </si>
  <si>
    <t>Incremento de Servicios por año</t>
  </si>
  <si>
    <t>2009</t>
  </si>
  <si>
    <t>Programado 2009</t>
  </si>
  <si>
    <t xml:space="preserve"> Captado 2009</t>
  </si>
  <si>
    <t>Programado  2009</t>
  </si>
  <si>
    <t>Ejercido 2009</t>
  </si>
  <si>
    <t>Ingresos Unidad Monterrey</t>
  </si>
  <si>
    <t>Servicios y proyectos</t>
  </si>
  <si>
    <t>Fondo de Cooperación Internacional (FONCICYT)</t>
  </si>
  <si>
    <t>Capítulos de Libros</t>
  </si>
  <si>
    <t>Libros</t>
  </si>
  <si>
    <t>Nacionales</t>
  </si>
  <si>
    <t>Internacionales</t>
  </si>
  <si>
    <t>Originial  2009</t>
  </si>
  <si>
    <t>Original  2009</t>
  </si>
  <si>
    <t>Recursos Autogenerados (Venta de Proyectos y Servicios, Posgrado)+ Ingresos Diversos</t>
  </si>
  <si>
    <t>2010</t>
  </si>
  <si>
    <t>Programado 2010</t>
  </si>
  <si>
    <t xml:space="preserve"> Captado 2010</t>
  </si>
  <si>
    <t>Originial  2010</t>
  </si>
  <si>
    <t>Ejercido 2010</t>
  </si>
  <si>
    <t>Original  2010</t>
  </si>
  <si>
    <t>Cap. 7000</t>
  </si>
  <si>
    <t>Becas y Apoyos a Estudiantes</t>
  </si>
  <si>
    <t>Fondos Mixtos</t>
  </si>
  <si>
    <t>Fondos Institucionales</t>
  </si>
  <si>
    <t xml:space="preserve">Fondos Sectoriales </t>
  </si>
  <si>
    <t>Recursos Autogenerados (Venta de Proyectos y Servicios, Posgrado e Ingresos Diversos)</t>
  </si>
  <si>
    <t>Ingresos Propios(miles $)</t>
  </si>
  <si>
    <t>Vinculación ( Industria y Fondos de Innovación)</t>
  </si>
  <si>
    <t>Personal Científico y Tecnológico por categoría y nivel  Unidad Monterrey</t>
  </si>
  <si>
    <t>Personal Total por Función Monterrey</t>
  </si>
  <si>
    <t>Libros Unidad Monterrey</t>
  </si>
  <si>
    <t>Capítulos de Libros Unidad Monterrey</t>
  </si>
  <si>
    <t>Solicitudes de Registro de Patente Unidad Monterrey</t>
  </si>
  <si>
    <t>Proyectos de Investigación Vigentes Unidad Monterrey</t>
  </si>
  <si>
    <t>Unidad Monterrey</t>
  </si>
  <si>
    <t>Ingresos Propios(miles $) Unidad Monterrey</t>
  </si>
  <si>
    <t xml:space="preserve">Ingresos  por Convocatoria </t>
  </si>
  <si>
    <t>Ingresos Totales (millones $)</t>
  </si>
  <si>
    <t>Becas y Transferencias</t>
  </si>
  <si>
    <t>Becas</t>
  </si>
  <si>
    <t>Modificado  2010</t>
  </si>
  <si>
    <t>Transferencias Fideicomiso</t>
  </si>
  <si>
    <t xml:space="preserve">Modificado </t>
  </si>
  <si>
    <t>Ejercido</t>
  </si>
  <si>
    <t>Verano de Investigación Científica</t>
  </si>
  <si>
    <t>Alumnos Participantes</t>
  </si>
  <si>
    <t xml:space="preserve">Científico y Tecnológico </t>
  </si>
  <si>
    <t>Todo</t>
  </si>
  <si>
    <t xml:space="preserve">Artículos en revistas indizadas </t>
  </si>
  <si>
    <t>Artículos  en extenso en Congresos Internacionales</t>
  </si>
  <si>
    <t>Artículos con arbitraje publicados (Revistas y Congresos)</t>
  </si>
  <si>
    <t xml:space="preserve">Vinculación </t>
  </si>
  <si>
    <t>FONCICYT</t>
  </si>
  <si>
    <t>Tesis</t>
  </si>
  <si>
    <t>Factor de Impacto</t>
  </si>
  <si>
    <t xml:space="preserve">CONACYT  </t>
  </si>
  <si>
    <t>Menor que 1</t>
  </si>
  <si>
    <t>Entre 1 y 2</t>
  </si>
  <si>
    <t>Entre 2 y 3</t>
  </si>
  <si>
    <t>Entre 3 y 5</t>
  </si>
  <si>
    <t>Mayor a  5</t>
  </si>
  <si>
    <t xml:space="preserve">Investigadores </t>
  </si>
  <si>
    <t>Técnicos</t>
  </si>
  <si>
    <t>Investigadores en el SNI  Unidad Monterrey</t>
  </si>
  <si>
    <t>Artículos con arbitraje publicados (Revistas y Congresos) UM</t>
  </si>
  <si>
    <t>Grado Académico P CyT UM</t>
  </si>
  <si>
    <t xml:space="preserve">Alumnos de Licenciatura atendidos UM </t>
  </si>
  <si>
    <t>Estudiantes matriculados UM</t>
  </si>
  <si>
    <t>Ingresos por Proyectos  por Convocatoria UM</t>
  </si>
  <si>
    <t>Total CIMAV</t>
  </si>
  <si>
    <t xml:space="preserve">Unidad Monterrey </t>
  </si>
  <si>
    <t xml:space="preserve">Total  CIMAV </t>
  </si>
  <si>
    <t>%</t>
  </si>
  <si>
    <t xml:space="preserve">Fondo Institucional </t>
  </si>
  <si>
    <t>Fondos Sectoriales</t>
  </si>
  <si>
    <t xml:space="preserve">Total </t>
  </si>
  <si>
    <t>Ingresos por Proyectos por  Convocatorias 2011</t>
  </si>
  <si>
    <t>Graduados Maestría en Comercialización de CyT</t>
  </si>
  <si>
    <t>1ra. Generación</t>
  </si>
  <si>
    <t>2da. Generación</t>
  </si>
  <si>
    <t>3ra. Generación</t>
  </si>
  <si>
    <t>1ra. Gen</t>
  </si>
  <si>
    <t>2da. Gen</t>
  </si>
  <si>
    <t>3ra. Gen</t>
  </si>
  <si>
    <t>Ingresos por Proyectos por Convocatoria (todos Inv y no Inv)</t>
  </si>
  <si>
    <t>Servicios</t>
  </si>
  <si>
    <t>Proyectos</t>
  </si>
  <si>
    <t>Ingresos por Servicios y Proyectos 2011</t>
  </si>
  <si>
    <t>Mixtos</t>
  </si>
  <si>
    <t>Sectoriales</t>
  </si>
  <si>
    <t>Institucionales</t>
  </si>
  <si>
    <t>Foncicyt</t>
  </si>
  <si>
    <t>Núm.Proyectos</t>
  </si>
  <si>
    <t>Monto Total Proyectos</t>
  </si>
  <si>
    <t>Proyectos Vigentes en el Periodo (inc Investigación, Infraest,fortal)</t>
  </si>
  <si>
    <t>Clasificación de Personal</t>
  </si>
  <si>
    <t>Científico y Tecnológico</t>
  </si>
  <si>
    <t>Mandos Medios</t>
  </si>
  <si>
    <t>Apoyo Área Sustantiva</t>
  </si>
  <si>
    <t>Administrativo y de Apoyo</t>
  </si>
  <si>
    <t>Nota:  Administrativo= MMS+Hon+AyA-AAS</t>
  </si>
  <si>
    <t xml:space="preserve">Crecimiento </t>
  </si>
  <si>
    <t xml:space="preserve">Carrera Técnica </t>
  </si>
  <si>
    <t>Maestria en Nanotecnología</t>
  </si>
  <si>
    <t>Doctorado en Nanotecnología</t>
  </si>
  <si>
    <t>Entre 5 y 8</t>
  </si>
  <si>
    <t>Maestría en Energias Renovables</t>
  </si>
  <si>
    <t>Programado 2011</t>
  </si>
  <si>
    <t xml:space="preserve"> Captado 2011</t>
  </si>
  <si>
    <t>Programado 2012</t>
  </si>
  <si>
    <t xml:space="preserve"> Captado 2012</t>
  </si>
  <si>
    <t>Original  2011</t>
  </si>
  <si>
    <t>Ejercido 2011</t>
  </si>
  <si>
    <t>Original  2012</t>
  </si>
  <si>
    <t>Ejercido 2012</t>
  </si>
  <si>
    <t>Técnicos por Investigador</t>
  </si>
  <si>
    <t>Técnicos No Académicos (Sistemas, Metrología, Serv CyT, Cargo administrativo)</t>
  </si>
  <si>
    <t>Técnicos Académicos</t>
  </si>
  <si>
    <t>Productividad por Investigador</t>
  </si>
  <si>
    <t>Publicaciones Indizadas</t>
  </si>
  <si>
    <t>índice de Publicaciones por Investigador</t>
  </si>
  <si>
    <t>Técnicos en el S N I</t>
  </si>
  <si>
    <t xml:space="preserve">Nivel II </t>
  </si>
  <si>
    <t xml:space="preserve">Candidatos </t>
  </si>
  <si>
    <t>Personal CyT en el S.N.I.</t>
  </si>
  <si>
    <t>Estancias</t>
  </si>
  <si>
    <t>9° Verano de Investigación Científica</t>
  </si>
  <si>
    <t>Tesistas de Maestría y Doctorado</t>
  </si>
  <si>
    <t>Eficiencia Terminal</t>
  </si>
  <si>
    <t>Doctorado en Ciencia e Ingeniería Ambiental</t>
  </si>
  <si>
    <t>Sumatoria Número de Años</t>
  </si>
  <si>
    <t xml:space="preserve">Matrícula de Otros Programas de Posgrado </t>
  </si>
  <si>
    <t>Maestría en Comercialización de la CyT</t>
  </si>
  <si>
    <t>Maestría en Energías Renovables</t>
  </si>
  <si>
    <t>Maestría en Nanotecnología</t>
  </si>
  <si>
    <t>Crecimiento Anual Matrícula PNPC</t>
  </si>
  <si>
    <t>Programa de Estímulo a la Investigación, Desarrollo Tecnológico e Innovación</t>
  </si>
  <si>
    <t>Proyectos aprobados</t>
  </si>
  <si>
    <t>Monto total aprobado (miles$)</t>
  </si>
  <si>
    <t>Promedio $ por proyecto</t>
  </si>
  <si>
    <t>Crecimiento por proyecto</t>
  </si>
  <si>
    <t>Crecimiento en $</t>
  </si>
  <si>
    <t>Crecimiento (2009 a 2013) número proyectos</t>
  </si>
  <si>
    <t>Crecimiento 5 años (2009 a 2013) miles $</t>
  </si>
  <si>
    <t>Clientes por sector</t>
  </si>
  <si>
    <t xml:space="preserve">Industria Maquiladora de Exportación </t>
  </si>
  <si>
    <t>Mediana y Grande Empresa Nacional</t>
  </si>
  <si>
    <t>Micro y Pequeña Empresa Nacional</t>
  </si>
  <si>
    <t>Ingresos por Proyectos y Servicios</t>
  </si>
  <si>
    <t xml:space="preserve">Ingresos por Servicios </t>
  </si>
  <si>
    <t>Ingresos por Proyectos (miles $ )</t>
  </si>
  <si>
    <t>Ingresos por Posgrado</t>
  </si>
  <si>
    <t>Otros Ingresos</t>
  </si>
  <si>
    <t>Total de Ingresos por Proyectos y Servicios</t>
  </si>
  <si>
    <t>Instituciones de Investigación y Docencia</t>
  </si>
  <si>
    <t>Ingresos de servicios certificados- acreditados 2003-2005</t>
  </si>
  <si>
    <t>Laboratorios acreditados/certificados (miles $)</t>
  </si>
  <si>
    <t>Laboratorios no acreditados/certificados  (miles $)</t>
  </si>
  <si>
    <t>Índices de Precios</t>
  </si>
  <si>
    <t>2001/06</t>
  </si>
  <si>
    <t>2002/06</t>
  </si>
  <si>
    <t>2003/06</t>
  </si>
  <si>
    <t>2004/06</t>
  </si>
  <si>
    <t>2005/06</t>
  </si>
  <si>
    <t>2006/06</t>
  </si>
  <si>
    <t>Ingresos (Nominales) por fuente de recursos. Miles de precios corrientes</t>
  </si>
  <si>
    <t>Autogenerados + Diversos</t>
  </si>
  <si>
    <t xml:space="preserve">Propios y Fiscales. Gasto por capítulo. Ejercido Devengado.  Miles de pesos corrientes </t>
  </si>
  <si>
    <t>Gasto Corriente</t>
  </si>
  <si>
    <t>Gasto de Inversión</t>
  </si>
  <si>
    <t>Propios y Fiscales.  Gasto por capítulo. Ejercido Devengado.  Millones de pesos .Nominales</t>
  </si>
  <si>
    <t>Fiscales y Propios. Gasto Ejercido Devengado.  Millones de pesos Nominales</t>
  </si>
  <si>
    <t>Gasto de Operación</t>
  </si>
  <si>
    <t xml:space="preserve">Fiscales. Gasto por capítulo.Programado Modificado y Ejercido Devengado.  Miles de pesos corrientes </t>
  </si>
  <si>
    <t xml:space="preserve">Fiscales. Gasto por capítulo.Programado Modificado 2008.  Miles de pesos corrientes </t>
  </si>
  <si>
    <t>Análisis Químicos</t>
  </si>
  <si>
    <t xml:space="preserve">Corrosíon y Protección </t>
  </si>
  <si>
    <t>Calidad del Aire</t>
  </si>
  <si>
    <t>Metrología</t>
  </si>
  <si>
    <t>Residuos</t>
  </si>
  <si>
    <t>.</t>
  </si>
  <si>
    <t>Títulos Otorgados</t>
  </si>
  <si>
    <t>En Examen de fondo</t>
  </si>
  <si>
    <t>Pasó Examen de Forma</t>
  </si>
  <si>
    <t>*</t>
  </si>
  <si>
    <t>Proyectos de Investigación Vigentes (únicamente investigación)</t>
  </si>
  <si>
    <t>Prácticas o  Residencias profesionales</t>
  </si>
  <si>
    <t>Graduados en programas del posgrado (PNPC)</t>
  </si>
  <si>
    <t>Estancias Posdoctorales</t>
  </si>
  <si>
    <t>LABORATORIOS CON PRUEBAS O MÉTODOS  ACREDITADOS ANTE LA EMA</t>
  </si>
</sst>
</file>

<file path=xl/styles.xml><?xml version="1.0" encoding="utf-8"?>
<styleSheet xmlns="http://schemas.openxmlformats.org/spreadsheetml/2006/main">
  <numFmts count="11">
    <numFmt numFmtId="8" formatCode="&quot;$&quot;#,##0.00;[Red]\-&quot;$&quot;#,##0.00"/>
    <numFmt numFmtId="44" formatCode="_-&quot;$&quot;* #,##0.00_-;\-&quot;$&quot;* #,##0.00_-;_-&quot;$&quot;* &quot;-&quot;??_-;_-@_-"/>
    <numFmt numFmtId="164" formatCode="0.0"/>
    <numFmt numFmtId="165" formatCode="#,##0.0"/>
    <numFmt numFmtId="166" formatCode="0.0000"/>
    <numFmt numFmtId="167" formatCode="0.000"/>
    <numFmt numFmtId="168" formatCode="0.0%"/>
    <numFmt numFmtId="169" formatCode="_-[$€-2]* #,##0.00_-;\-[$€-2]* #,##0.00_-;_-[$€-2]* &quot;-&quot;??_-"/>
    <numFmt numFmtId="170" formatCode="_-&quot;$&quot;* #,##0_-;\-&quot;$&quot;* #,##0_-;_-&quot;$&quot;* &quot;-&quot;??_-;_-@_-"/>
    <numFmt numFmtId="171" formatCode="&quot;$&quot;#,##0.00"/>
    <numFmt numFmtId="172" formatCode="&quot;$&quot;#,##0"/>
  </numFmts>
  <fonts count="5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indexed="81"/>
      <name val="Tahoma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8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0"/>
      <color indexed="8"/>
      <name val="Arial"/>
      <family val="2"/>
    </font>
    <font>
      <u/>
      <sz val="11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sz val="12"/>
      <color indexed="10"/>
      <name val="Arial"/>
      <family val="2"/>
    </font>
    <font>
      <sz val="10"/>
      <color indexed="41"/>
      <name val="Book Antiqua"/>
      <family val="1"/>
    </font>
    <font>
      <sz val="10"/>
      <name val="Book Antiqua"/>
      <family val="1"/>
    </font>
    <font>
      <b/>
      <sz val="10"/>
      <color indexed="41"/>
      <name val="Book Antiqua"/>
      <family val="1"/>
    </font>
    <font>
      <b/>
      <sz val="10"/>
      <name val="Book Antiqua"/>
      <family val="1"/>
    </font>
    <font>
      <sz val="10"/>
      <color indexed="62"/>
      <name val="Arial"/>
      <family val="2"/>
    </font>
    <font>
      <sz val="10"/>
      <name val="Tahoma"/>
      <family val="2"/>
    </font>
    <font>
      <sz val="10"/>
      <name val="Geneva"/>
    </font>
    <font>
      <b/>
      <sz val="10"/>
      <color indexed="8"/>
      <name val="Arial"/>
      <family val="2"/>
    </font>
    <font>
      <sz val="12"/>
      <color indexed="8"/>
      <name val="Calibri"/>
      <family val="2"/>
    </font>
    <font>
      <sz val="10"/>
      <color rgb="FFFF0000"/>
      <name val="Arial"/>
      <family val="2"/>
    </font>
    <font>
      <b/>
      <sz val="12"/>
      <color indexed="8"/>
      <name val="Calibri"/>
      <family val="2"/>
    </font>
    <font>
      <b/>
      <sz val="10"/>
      <color indexed="9"/>
      <name val="Arial"/>
      <family val="2"/>
    </font>
    <font>
      <sz val="12"/>
      <color indexed="15"/>
      <name val="Arial"/>
      <family val="2"/>
    </font>
    <font>
      <sz val="10"/>
      <color indexed="14"/>
      <name val="Arial"/>
      <family val="2"/>
    </font>
    <font>
      <sz val="12"/>
      <color indexed="14"/>
      <name val="Arial"/>
      <family val="2"/>
    </font>
    <font>
      <sz val="10"/>
      <color indexed="9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24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rgb="FF0000CC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CC"/>
      <name val="Arial"/>
      <family val="2"/>
    </font>
    <font>
      <b/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538ED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0" fontId="28" fillId="0" borderId="0"/>
    <xf numFmtId="9" fontId="2" fillId="0" borderId="0" applyFont="0" applyFill="0" applyBorder="0" applyAlignment="0" applyProtection="0"/>
    <xf numFmtId="0" fontId="1" fillId="0" borderId="0"/>
    <xf numFmtId="169" fontId="2" fillId="0" borderId="0" applyFont="0" applyFill="0" applyBorder="0" applyAlignment="0" applyProtection="0"/>
  </cellStyleXfs>
  <cellXfs count="536">
    <xf numFmtId="0" fontId="0" fillId="0" borderId="0" xfId="0"/>
    <xf numFmtId="0" fontId="3" fillId="0" borderId="0" xfId="0" applyFont="1"/>
    <xf numFmtId="3" fontId="0" fillId="0" borderId="0" xfId="0" applyNumberFormat="1"/>
    <xf numFmtId="0" fontId="3" fillId="0" borderId="0" xfId="0" applyFont="1" applyFill="1"/>
    <xf numFmtId="3" fontId="3" fillId="0" borderId="0" xfId="0" applyNumberFormat="1" applyFont="1"/>
    <xf numFmtId="3" fontId="3" fillId="0" borderId="0" xfId="0" quotePrefix="1" applyNumberFormat="1" applyFont="1"/>
    <xf numFmtId="165" fontId="3" fillId="0" borderId="0" xfId="0" applyNumberFormat="1" applyFont="1"/>
    <xf numFmtId="3" fontId="3" fillId="0" borderId="0" xfId="0" applyNumberFormat="1" applyFont="1" applyFill="1"/>
    <xf numFmtId="3" fontId="3" fillId="0" borderId="0" xfId="0" quotePrefix="1" applyNumberFormat="1" applyFont="1" applyAlignment="1">
      <alignment horizontal="center"/>
    </xf>
    <xf numFmtId="0" fontId="0" fillId="0" borderId="0" xfId="0" quotePrefix="1"/>
    <xf numFmtId="0" fontId="0" fillId="0" borderId="0" xfId="0" applyFill="1"/>
    <xf numFmtId="164" fontId="0" fillId="0" borderId="0" xfId="0" applyNumberFormat="1"/>
    <xf numFmtId="1" fontId="0" fillId="0" borderId="0" xfId="0" applyNumberFormat="1"/>
    <xf numFmtId="0" fontId="4" fillId="0" borderId="0" xfId="0" applyFont="1" applyFill="1"/>
    <xf numFmtId="3" fontId="0" fillId="0" borderId="0" xfId="0" applyNumberFormat="1" applyFill="1"/>
    <xf numFmtId="0" fontId="11" fillId="0" borderId="0" xfId="0" applyFont="1"/>
    <xf numFmtId="0" fontId="11" fillId="0" borderId="0" xfId="0" applyFont="1" applyAlignment="1">
      <alignment horizontal="center"/>
    </xf>
    <xf numFmtId="164" fontId="11" fillId="0" borderId="0" xfId="0" applyNumberFormat="1" applyFont="1"/>
    <xf numFmtId="0" fontId="11" fillId="0" borderId="1" xfId="0" applyFont="1" applyBorder="1" applyAlignment="1">
      <alignment horizontal="left" vertical="top" wrapText="1"/>
    </xf>
    <xf numFmtId="0" fontId="12" fillId="0" borderId="2" xfId="0" applyFont="1" applyBorder="1" applyAlignment="1">
      <alignment vertical="center"/>
    </xf>
    <xf numFmtId="0" fontId="11" fillId="0" borderId="0" xfId="0" applyFont="1" applyBorder="1" applyAlignment="1">
      <alignment horizontal="left" vertical="top" wrapText="1"/>
    </xf>
    <xf numFmtId="164" fontId="11" fillId="0" borderId="0" xfId="0" quotePrefix="1" applyNumberFormat="1" applyFont="1" applyBorder="1" applyAlignment="1">
      <alignment horizontal="center" vertical="center" wrapText="1"/>
    </xf>
    <xf numFmtId="164" fontId="11" fillId="0" borderId="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/>
    <xf numFmtId="164" fontId="2" fillId="0" borderId="3" xfId="0" quotePrefix="1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/>
    <xf numFmtId="0" fontId="11" fillId="0" borderId="0" xfId="0" applyFont="1" applyBorder="1" applyAlignment="1"/>
    <xf numFmtId="1" fontId="2" fillId="0" borderId="1" xfId="0" quotePrefix="1" applyNumberFormat="1" applyFont="1" applyBorder="1" applyAlignment="1">
      <alignment horizontal="center" vertical="center" wrapText="1"/>
    </xf>
    <xf numFmtId="1" fontId="11" fillId="0" borderId="5" xfId="0" quotePrefix="1" applyNumberFormat="1" applyFont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64" fontId="6" fillId="0" borderId="0" xfId="0" quotePrefix="1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top" wrapText="1"/>
    </xf>
    <xf numFmtId="0" fontId="11" fillId="2" borderId="3" xfId="0" applyFont="1" applyFill="1" applyBorder="1"/>
    <xf numFmtId="164" fontId="11" fillId="0" borderId="3" xfId="0" quotePrefix="1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164" fontId="11" fillId="2" borderId="3" xfId="0" quotePrefix="1" applyNumberFormat="1" applyFont="1" applyFill="1" applyBorder="1" applyAlignment="1">
      <alignment horizontal="center" vertical="center" wrapText="1"/>
    </xf>
    <xf numFmtId="164" fontId="2" fillId="2" borderId="3" xfId="0" quotePrefix="1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 shrinkToFit="1"/>
    </xf>
    <xf numFmtId="164" fontId="6" fillId="2" borderId="3" xfId="0" quotePrefix="1" applyNumberFormat="1" applyFont="1" applyFill="1" applyBorder="1" applyAlignment="1">
      <alignment horizontal="center" vertical="center" wrapText="1" shrinkToFit="1"/>
    </xf>
    <xf numFmtId="164" fontId="11" fillId="2" borderId="3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3" xfId="0" quotePrefix="1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Border="1"/>
    <xf numFmtId="164" fontId="6" fillId="0" borderId="0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/>
    <xf numFmtId="1" fontId="11" fillId="0" borderId="6" xfId="0" quotePrefix="1" applyNumberFormat="1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1" fontId="11" fillId="0" borderId="7" xfId="0" applyNumberFormat="1" applyFont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top" wrapText="1"/>
    </xf>
    <xf numFmtId="0" fontId="11" fillId="0" borderId="3" xfId="0" applyFont="1" applyFill="1" applyBorder="1"/>
    <xf numFmtId="0" fontId="11" fillId="0" borderId="3" xfId="0" quotePrefix="1" applyFont="1" applyFill="1" applyBorder="1"/>
    <xf numFmtId="164" fontId="11" fillId="0" borderId="3" xfId="0" applyNumberFormat="1" applyFont="1" applyFill="1" applyBorder="1"/>
    <xf numFmtId="0" fontId="17" fillId="0" borderId="0" xfId="0" applyFont="1"/>
    <xf numFmtId="167" fontId="11" fillId="2" borderId="3" xfId="0" quotePrefix="1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3" fontId="3" fillId="3" borderId="0" xfId="0" applyNumberFormat="1" applyFont="1" applyFill="1"/>
    <xf numFmtId="0" fontId="0" fillId="3" borderId="0" xfId="0" applyFill="1"/>
    <xf numFmtId="0" fontId="3" fillId="3" borderId="0" xfId="0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quotePrefix="1" applyFill="1" applyAlignment="1">
      <alignment horizontal="center"/>
    </xf>
    <xf numFmtId="3" fontId="4" fillId="3" borderId="0" xfId="0" quotePrefix="1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3" fontId="3" fillId="3" borderId="0" xfId="0" applyNumberFormat="1" applyFont="1" applyFill="1" applyBorder="1"/>
    <xf numFmtId="3" fontId="4" fillId="3" borderId="0" xfId="0" quotePrefix="1" applyNumberFormat="1" applyFont="1" applyFill="1" applyAlignment="1">
      <alignment horizontal="center"/>
    </xf>
    <xf numFmtId="0" fontId="4" fillId="3" borderId="0" xfId="0" applyFont="1" applyFill="1"/>
    <xf numFmtId="3" fontId="3" fillId="3" borderId="0" xfId="0" applyNumberFormat="1" applyFont="1" applyFill="1" applyAlignment="1">
      <alignment horizontal="center"/>
    </xf>
    <xf numFmtId="164" fontId="6" fillId="0" borderId="0" xfId="0" applyNumberFormat="1" applyFont="1" applyFill="1" applyBorder="1" applyAlignment="1">
      <alignment horizontal="center" vertical="center" wrapText="1" shrinkToFit="1"/>
    </xf>
    <xf numFmtId="165" fontId="6" fillId="0" borderId="0" xfId="0" applyNumberFormat="1" applyFont="1" applyFill="1" applyBorder="1" applyAlignment="1">
      <alignment horizontal="center" vertical="center" wrapText="1" shrinkToFit="1"/>
    </xf>
    <xf numFmtId="165" fontId="2" fillId="0" borderId="0" xfId="0" applyNumberFormat="1" applyFon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164" fontId="0" fillId="2" borderId="3" xfId="0" applyNumberFormat="1" applyFill="1" applyBorder="1"/>
    <xf numFmtId="0" fontId="0" fillId="3" borderId="3" xfId="0" applyFill="1" applyBorder="1"/>
    <xf numFmtId="0" fontId="11" fillId="3" borderId="3" xfId="0" applyFont="1" applyFill="1" applyBorder="1" applyAlignment="1">
      <alignment horizontal="left" vertical="top" wrapText="1"/>
    </xf>
    <xf numFmtId="164" fontId="11" fillId="3" borderId="3" xfId="0" applyNumberFormat="1" applyFont="1" applyFill="1" applyBorder="1" applyAlignment="1">
      <alignment horizontal="center" vertical="center" wrapText="1"/>
    </xf>
    <xf numFmtId="164" fontId="11" fillId="3" borderId="3" xfId="0" quotePrefix="1" applyNumberFormat="1" applyFont="1" applyFill="1" applyBorder="1" applyAlignment="1">
      <alignment horizontal="center" vertical="center" wrapText="1"/>
    </xf>
    <xf numFmtId="164" fontId="2" fillId="3" borderId="3" xfId="0" quotePrefix="1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 shrinkToFi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6" fillId="3" borderId="3" xfId="0" quotePrefix="1" applyNumberFormat="1" applyFont="1" applyFill="1" applyBorder="1" applyAlignment="1">
      <alignment horizontal="center" vertical="center" wrapText="1"/>
    </xf>
    <xf numFmtId="0" fontId="11" fillId="3" borderId="3" xfId="0" applyFont="1" applyFill="1" applyBorder="1"/>
    <xf numFmtId="0" fontId="11" fillId="0" borderId="0" xfId="0" applyFont="1" applyFill="1" applyBorder="1" applyAlignment="1">
      <alignment horizontal="left" vertical="top" wrapText="1"/>
    </xf>
    <xf numFmtId="167" fontId="11" fillId="0" borderId="0" xfId="0" quotePrefix="1" applyNumberFormat="1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/>
    <xf numFmtId="0" fontId="0" fillId="0" borderId="0" xfId="0" applyFill="1" applyBorder="1"/>
    <xf numFmtId="0" fontId="11" fillId="0" borderId="0" xfId="0" applyFont="1" applyFill="1" applyBorder="1" applyAlignment="1"/>
    <xf numFmtId="164" fontId="6" fillId="3" borderId="3" xfId="0" quotePrefix="1" applyNumberFormat="1" applyFont="1" applyFill="1" applyBorder="1" applyAlignment="1">
      <alignment horizontal="center" vertical="center" wrapText="1" shrinkToFit="1"/>
    </xf>
    <xf numFmtId="0" fontId="12" fillId="3" borderId="3" xfId="0" applyFont="1" applyFill="1" applyBorder="1" applyAlignment="1">
      <alignment horizontal="center" vertical="center" wrapText="1"/>
    </xf>
    <xf numFmtId="2" fontId="6" fillId="3" borderId="3" xfId="0" applyNumberFormat="1" applyFont="1" applyFill="1" applyBorder="1" applyAlignment="1">
      <alignment horizontal="center" vertical="center" wrapText="1"/>
    </xf>
    <xf numFmtId="1" fontId="0" fillId="3" borderId="0" xfId="0" applyNumberFormat="1" applyFill="1" applyAlignment="1">
      <alignment horizontal="center"/>
    </xf>
    <xf numFmtId="0" fontId="4" fillId="3" borderId="0" xfId="0" applyFont="1" applyFill="1" applyAlignment="1">
      <alignment horizontal="left"/>
    </xf>
    <xf numFmtId="0" fontId="0" fillId="0" borderId="0" xfId="0" applyFill="1" applyAlignment="1">
      <alignment horizontal="center"/>
    </xf>
    <xf numFmtId="165" fontId="3" fillId="3" borderId="0" xfId="0" applyNumberFormat="1" applyFon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0" xfId="0" applyFont="1" applyBorder="1" applyAlignment="1">
      <alignment vertical="top" wrapText="1"/>
    </xf>
    <xf numFmtId="0" fontId="13" fillId="0" borderId="8" xfId="0" applyFont="1" applyBorder="1" applyAlignment="1">
      <alignment wrapText="1"/>
    </xf>
    <xf numFmtId="0" fontId="13" fillId="0" borderId="9" xfId="0" applyFont="1" applyBorder="1" applyAlignment="1">
      <alignment wrapText="1"/>
    </xf>
    <xf numFmtId="165" fontId="0" fillId="3" borderId="0" xfId="0" applyNumberFormat="1" applyFill="1" applyBorder="1" applyAlignment="1">
      <alignment horizontal="center"/>
    </xf>
    <xf numFmtId="0" fontId="0" fillId="3" borderId="0" xfId="0" applyFill="1" applyAlignment="1">
      <alignment horizontal="left"/>
    </xf>
    <xf numFmtId="164" fontId="11" fillId="2" borderId="11" xfId="0" quotePrefix="1" applyNumberFormat="1" applyFont="1" applyFill="1" applyBorder="1" applyAlignment="1">
      <alignment horizontal="center" vertical="center" wrapText="1"/>
    </xf>
    <xf numFmtId="164" fontId="11" fillId="2" borderId="5" xfId="0" quotePrefix="1" applyNumberFormat="1" applyFont="1" applyFill="1" applyBorder="1" applyAlignment="1">
      <alignment horizontal="center" vertical="center" wrapText="1"/>
    </xf>
    <xf numFmtId="164" fontId="11" fillId="2" borderId="11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164" fontId="11" fillId="2" borderId="18" xfId="0" applyNumberFormat="1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wrapText="1"/>
    </xf>
    <xf numFmtId="0" fontId="12" fillId="4" borderId="19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164" fontId="11" fillId="2" borderId="13" xfId="0" applyNumberFormat="1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wrapText="1"/>
    </xf>
    <xf numFmtId="0" fontId="12" fillId="4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2" fillId="4" borderId="24" xfId="0" applyFont="1" applyFill="1" applyBorder="1" applyAlignment="1">
      <alignment horizontal="center" vertical="center"/>
    </xf>
    <xf numFmtId="0" fontId="12" fillId="4" borderId="25" xfId="0" applyFont="1" applyFill="1" applyBorder="1" applyAlignment="1">
      <alignment horizontal="center" vertical="center"/>
    </xf>
    <xf numFmtId="3" fontId="4" fillId="3" borderId="0" xfId="0" applyNumberFormat="1" applyFont="1" applyFill="1" applyAlignment="1">
      <alignment horizontal="center"/>
    </xf>
    <xf numFmtId="165" fontId="4" fillId="3" borderId="0" xfId="0" applyNumberFormat="1" applyFont="1" applyFill="1" applyAlignment="1">
      <alignment horizontal="center"/>
    </xf>
    <xf numFmtId="3" fontId="3" fillId="3" borderId="0" xfId="0" quotePrefix="1" applyNumberFormat="1" applyFont="1" applyFill="1" applyAlignment="1">
      <alignment horizontal="center"/>
    </xf>
    <xf numFmtId="0" fontId="14" fillId="0" borderId="0" xfId="0" applyFont="1" applyFill="1"/>
    <xf numFmtId="0" fontId="4" fillId="3" borderId="0" xfId="0" applyFont="1" applyFill="1" applyBorder="1"/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wrapText="1"/>
    </xf>
    <xf numFmtId="3" fontId="0" fillId="0" borderId="0" xfId="0" applyNumberFormat="1" applyFill="1" applyBorder="1"/>
    <xf numFmtId="0" fontId="9" fillId="3" borderId="0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horizontal="center" vertical="top" wrapText="1"/>
    </xf>
    <xf numFmtId="164" fontId="11" fillId="3" borderId="0" xfId="0" quotePrefix="1" applyNumberFormat="1" applyFont="1" applyFill="1" applyBorder="1" applyAlignment="1">
      <alignment horizontal="center" vertical="center" wrapText="1"/>
    </xf>
    <xf numFmtId="164" fontId="11" fillId="3" borderId="0" xfId="0" applyNumberFormat="1" applyFont="1" applyFill="1" applyBorder="1" applyAlignment="1">
      <alignment horizontal="center" vertical="center" wrapText="1"/>
    </xf>
    <xf numFmtId="164" fontId="2" fillId="3" borderId="0" xfId="0" quotePrefix="1" applyNumberFormat="1" applyFont="1" applyFill="1" applyBorder="1" applyAlignment="1">
      <alignment horizontal="center" vertical="center" wrapText="1"/>
    </xf>
    <xf numFmtId="164" fontId="6" fillId="3" borderId="0" xfId="0" applyNumberFormat="1" applyFont="1" applyFill="1" applyBorder="1" applyAlignment="1">
      <alignment horizontal="center" vertical="center" wrapText="1" shrinkToFit="1"/>
    </xf>
    <xf numFmtId="0" fontId="4" fillId="3" borderId="0" xfId="0" applyFont="1" applyFill="1" applyAlignment="1">
      <alignment horizontal="center"/>
    </xf>
    <xf numFmtId="3" fontId="0" fillId="3" borderId="0" xfId="0" applyNumberFormat="1" applyFont="1" applyFill="1" applyAlignment="1">
      <alignment horizontal="center"/>
    </xf>
    <xf numFmtId="168" fontId="0" fillId="3" borderId="0" xfId="3" applyNumberFormat="1" applyFont="1" applyFill="1" applyAlignment="1">
      <alignment horizontal="center"/>
    </xf>
    <xf numFmtId="0" fontId="4" fillId="3" borderId="0" xfId="0" quotePrefix="1" applyFont="1" applyFill="1" applyAlignment="1">
      <alignment horizontal="center"/>
    </xf>
    <xf numFmtId="0" fontId="4" fillId="3" borderId="0" xfId="0" quotePrefix="1" applyNumberFormat="1" applyFont="1" applyFill="1" applyAlignment="1">
      <alignment horizontal="center"/>
    </xf>
    <xf numFmtId="3" fontId="3" fillId="3" borderId="0" xfId="0" applyNumberFormat="1" applyFont="1" applyFill="1" applyBorder="1" applyAlignment="1">
      <alignment horizontal="center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165" fontId="3" fillId="3" borderId="0" xfId="0" applyNumberFormat="1" applyFont="1" applyFill="1" applyBorder="1" applyAlignment="1">
      <alignment horizontal="center"/>
    </xf>
    <xf numFmtId="4" fontId="0" fillId="3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4" fontId="3" fillId="3" borderId="0" xfId="0" applyNumberFormat="1" applyFont="1" applyFill="1" applyAlignment="1">
      <alignment horizontal="center"/>
    </xf>
    <xf numFmtId="49" fontId="4" fillId="3" borderId="0" xfId="0" applyNumberFormat="1" applyFont="1" applyFill="1" applyAlignment="1">
      <alignment horizontal="center"/>
    </xf>
    <xf numFmtId="0" fontId="3" fillId="3" borderId="0" xfId="0" applyFont="1" applyFill="1" applyBorder="1" applyAlignment="1">
      <alignment horizontal="center" vertical="center" wrapText="1" shrinkToFit="1"/>
    </xf>
    <xf numFmtId="3" fontId="3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center"/>
    </xf>
    <xf numFmtId="9" fontId="0" fillId="3" borderId="0" xfId="3" applyFont="1" applyFill="1" applyAlignment="1">
      <alignment horizontal="center"/>
    </xf>
    <xf numFmtId="165" fontId="3" fillId="0" borderId="0" xfId="0" applyNumberFormat="1" applyFont="1" applyAlignment="1">
      <alignment horizontal="center"/>
    </xf>
    <xf numFmtId="3" fontId="4" fillId="0" borderId="0" xfId="0" applyNumberFormat="1" applyFont="1" applyFill="1" applyAlignment="1">
      <alignment horizontal="center"/>
    </xf>
    <xf numFmtId="4" fontId="3" fillId="3" borderId="0" xfId="0" applyNumberFormat="1" applyFont="1" applyFill="1" applyAlignment="1">
      <alignment horizontal="center"/>
    </xf>
    <xf numFmtId="0" fontId="3" fillId="0" borderId="0" xfId="0" applyFont="1" applyFill="1" applyBorder="1"/>
    <xf numFmtId="166" fontId="3" fillId="0" borderId="0" xfId="0" applyNumberFormat="1" applyFont="1" applyFill="1" applyBorder="1"/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3" fontId="0" fillId="0" borderId="0" xfId="0" applyNumberForma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5" fontId="0" fillId="0" borderId="0" xfId="0" applyNumberFormat="1" applyAlignment="1">
      <alignment horizontal="center"/>
    </xf>
    <xf numFmtId="165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3" fillId="0" borderId="0" xfId="0" quotePrefix="1" applyFont="1" applyAlignment="1">
      <alignment horizontal="center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9" fontId="23" fillId="0" borderId="0" xfId="3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9" fontId="25" fillId="0" borderId="0" xfId="3" applyFont="1" applyFill="1" applyBorder="1" applyAlignment="1">
      <alignment horizontal="center" vertical="center" wrapText="1"/>
    </xf>
    <xf numFmtId="165" fontId="0" fillId="0" borderId="0" xfId="0" applyNumberFormat="1" applyFill="1" applyAlignment="1">
      <alignment horizontal="center"/>
    </xf>
    <xf numFmtId="1" fontId="4" fillId="3" borderId="0" xfId="0" applyNumberFormat="1" applyFont="1" applyFill="1" applyAlignment="1">
      <alignment horizontal="center"/>
    </xf>
    <xf numFmtId="9" fontId="0" fillId="0" borderId="0" xfId="3" applyFont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3" xfId="0" quotePrefix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164" fontId="0" fillId="3" borderId="3" xfId="0" applyNumberFormat="1" applyFill="1" applyBorder="1"/>
    <xf numFmtId="0" fontId="0" fillId="0" borderId="0" xfId="0" applyAlignment="1">
      <alignment wrapText="1"/>
    </xf>
    <xf numFmtId="4" fontId="26" fillId="0" borderId="0" xfId="0" applyNumberFormat="1" applyFont="1" applyBorder="1" applyAlignment="1">
      <alignment horizontal="center" wrapText="1"/>
    </xf>
    <xf numFmtId="168" fontId="3" fillId="3" borderId="0" xfId="3" applyNumberFormat="1" applyFont="1" applyFill="1" applyAlignment="1">
      <alignment horizontal="center"/>
    </xf>
    <xf numFmtId="168" fontId="3" fillId="0" borderId="0" xfId="3" applyNumberFormat="1" applyFont="1" applyFill="1" applyAlignment="1">
      <alignment horizontal="center"/>
    </xf>
    <xf numFmtId="165" fontId="3" fillId="0" borderId="0" xfId="0" applyNumberFormat="1" applyFont="1" applyFill="1"/>
    <xf numFmtId="4" fontId="0" fillId="0" borderId="0" xfId="0" applyNumberFormat="1" applyBorder="1"/>
    <xf numFmtId="0" fontId="0" fillId="0" borderId="0" xfId="0" applyBorder="1"/>
    <xf numFmtId="0" fontId="0" fillId="3" borderId="0" xfId="0" applyFill="1" applyBorder="1"/>
    <xf numFmtId="4" fontId="27" fillId="3" borderId="0" xfId="2" applyNumberFormat="1" applyFont="1" applyFill="1" applyBorder="1" applyAlignment="1">
      <alignment horizontal="center"/>
    </xf>
    <xf numFmtId="4" fontId="4" fillId="3" borderId="0" xfId="0" applyNumberFormat="1" applyFont="1" applyFill="1" applyBorder="1" applyAlignment="1">
      <alignment horizontal="center"/>
    </xf>
    <xf numFmtId="4" fontId="0" fillId="3" borderId="0" xfId="0" applyNumberFormat="1" applyFill="1" applyBorder="1"/>
    <xf numFmtId="4" fontId="0" fillId="3" borderId="0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29" fillId="3" borderId="0" xfId="0" applyFont="1" applyFill="1" applyBorder="1" applyAlignment="1">
      <alignment horizontal="center" vertical="top" wrapText="1"/>
    </xf>
    <xf numFmtId="4" fontId="17" fillId="3" borderId="0" xfId="0" applyNumberFormat="1" applyFont="1" applyFill="1" applyBorder="1" applyAlignment="1">
      <alignment horizontal="right" vertical="top" wrapText="1"/>
    </xf>
    <xf numFmtId="0" fontId="17" fillId="3" borderId="0" xfId="0" applyFont="1" applyFill="1" applyBorder="1" applyAlignment="1">
      <alignment horizontal="right" vertical="top" wrapText="1"/>
    </xf>
    <xf numFmtId="3" fontId="0" fillId="3" borderId="0" xfId="0" applyNumberFormat="1" applyFill="1" applyBorder="1"/>
    <xf numFmtId="0" fontId="29" fillId="3" borderId="0" xfId="0" applyFont="1" applyFill="1" applyBorder="1" applyAlignment="1">
      <alignment horizontal="justify" vertical="top" wrapText="1"/>
    </xf>
    <xf numFmtId="4" fontId="4" fillId="3" borderId="0" xfId="0" applyNumberFormat="1" applyFont="1" applyFill="1" applyBorder="1"/>
    <xf numFmtId="165" fontId="17" fillId="3" borderId="0" xfId="0" applyNumberFormat="1" applyFont="1" applyFill="1" applyBorder="1" applyAlignment="1">
      <alignment horizontal="right" vertical="top" wrapText="1"/>
    </xf>
    <xf numFmtId="165" fontId="4" fillId="3" borderId="0" xfId="0" applyNumberFormat="1" applyFont="1" applyFill="1" applyBorder="1"/>
    <xf numFmtId="0" fontId="0" fillId="3" borderId="0" xfId="0" applyFill="1" applyAlignment="1">
      <alignment wrapText="1"/>
    </xf>
    <xf numFmtId="1" fontId="0" fillId="0" borderId="0" xfId="0" applyNumberFormat="1" applyAlignment="1">
      <alignment horizontal="center"/>
    </xf>
    <xf numFmtId="0" fontId="3" fillId="5" borderId="0" xfId="0" applyFont="1" applyFill="1" applyAlignment="1">
      <alignment horizontal="left"/>
    </xf>
    <xf numFmtId="0" fontId="0" fillId="5" borderId="0" xfId="0" applyFill="1" applyAlignment="1">
      <alignment horizontal="center"/>
    </xf>
    <xf numFmtId="0" fontId="3" fillId="5" borderId="0" xfId="0" applyFont="1" applyFill="1"/>
    <xf numFmtId="3" fontId="3" fillId="5" borderId="0" xfId="0" quotePrefix="1" applyNumberFormat="1" applyFont="1" applyFill="1" applyAlignment="1">
      <alignment horizontal="center"/>
    </xf>
    <xf numFmtId="0" fontId="3" fillId="5" borderId="0" xfId="0" applyFont="1" applyFill="1" applyAlignment="1">
      <alignment horizontal="center"/>
    </xf>
    <xf numFmtId="9" fontId="0" fillId="0" borderId="0" xfId="3" applyFont="1" applyFill="1" applyAlignment="1">
      <alignment horizontal="center"/>
    </xf>
    <xf numFmtId="44" fontId="0" fillId="0" borderId="0" xfId="1" applyFont="1" applyFill="1"/>
    <xf numFmtId="3" fontId="3" fillId="6" borderId="0" xfId="0" applyNumberFormat="1" applyFont="1" applyFill="1" applyAlignment="1">
      <alignment horizontal="center"/>
    </xf>
    <xf numFmtId="165" fontId="4" fillId="0" borderId="0" xfId="0" applyNumberFormat="1" applyFont="1" applyFill="1" applyAlignment="1">
      <alignment horizontal="center"/>
    </xf>
    <xf numFmtId="168" fontId="4" fillId="0" borderId="0" xfId="3" applyNumberFormat="1" applyFont="1" applyFill="1" applyAlignment="1">
      <alignment horizontal="center"/>
    </xf>
    <xf numFmtId="4" fontId="3" fillId="0" borderId="0" xfId="0" applyNumberFormat="1" applyFont="1" applyFill="1" applyAlignment="1">
      <alignment horizontal="center"/>
    </xf>
    <xf numFmtId="3" fontId="0" fillId="3" borderId="0" xfId="0" applyNumberFormat="1" applyFill="1"/>
    <xf numFmtId="2" fontId="0" fillId="3" borderId="0" xfId="0" applyNumberFormat="1" applyFill="1" applyAlignment="1">
      <alignment horizontal="center"/>
    </xf>
    <xf numFmtId="165" fontId="0" fillId="3" borderId="0" xfId="0" applyNumberFormat="1" applyFill="1" applyBorder="1"/>
    <xf numFmtId="0" fontId="0" fillId="3" borderId="0" xfId="0" applyFill="1" applyAlignment="1">
      <alignment horizontal="center" wrapText="1"/>
    </xf>
    <xf numFmtId="8" fontId="30" fillId="0" borderId="0" xfId="0" applyNumberFormat="1" applyFont="1" applyBorder="1" applyAlignment="1">
      <alignment horizontal="center"/>
    </xf>
    <xf numFmtId="3" fontId="3" fillId="0" borderId="0" xfId="0" applyNumberFormat="1" applyFont="1" applyFill="1" applyBorder="1"/>
    <xf numFmtId="9" fontId="11" fillId="0" borderId="0" xfId="3" applyFont="1" applyAlignment="1">
      <alignment horizontal="left"/>
    </xf>
    <xf numFmtId="1" fontId="0" fillId="0" borderId="0" xfId="0" applyNumberFormat="1" applyFill="1" applyAlignment="1">
      <alignment horizontal="center"/>
    </xf>
    <xf numFmtId="8" fontId="30" fillId="0" borderId="0" xfId="0" applyNumberFormat="1" applyFont="1" applyFill="1" applyBorder="1" applyAlignment="1">
      <alignment horizontal="center"/>
    </xf>
    <xf numFmtId="0" fontId="2" fillId="3" borderId="0" xfId="0" applyFont="1" applyFill="1"/>
    <xf numFmtId="168" fontId="30" fillId="0" borderId="0" xfId="3" applyNumberFormat="1" applyFont="1" applyFill="1" applyBorder="1" applyAlignment="1">
      <alignment horizontal="center"/>
    </xf>
    <xf numFmtId="3" fontId="0" fillId="3" borderId="0" xfId="0" applyNumberFormat="1" applyFill="1" applyAlignment="1">
      <alignment horizontal="right"/>
    </xf>
    <xf numFmtId="3" fontId="0" fillId="3" borderId="0" xfId="0" applyNumberFormat="1" applyFill="1" applyBorder="1" applyAlignment="1">
      <alignment horizontal="right"/>
    </xf>
    <xf numFmtId="0" fontId="3" fillId="7" borderId="0" xfId="0" applyFont="1" applyFill="1" applyAlignment="1">
      <alignment horizontal="center"/>
    </xf>
    <xf numFmtId="3" fontId="0" fillId="7" borderId="0" xfId="0" applyNumberFormat="1" applyFill="1" applyAlignment="1">
      <alignment horizontal="center"/>
    </xf>
    <xf numFmtId="0" fontId="2" fillId="0" borderId="0" xfId="0" applyFont="1" applyFill="1"/>
    <xf numFmtId="165" fontId="2" fillId="0" borderId="0" xfId="0" applyNumberFormat="1" applyFont="1" applyFill="1" applyAlignment="1">
      <alignment horizontal="center" wrapText="1"/>
    </xf>
    <xf numFmtId="1" fontId="4" fillId="0" borderId="0" xfId="0" applyNumberFormat="1" applyFont="1" applyFill="1" applyAlignment="1">
      <alignment horizontal="center"/>
    </xf>
    <xf numFmtId="0" fontId="29" fillId="0" borderId="0" xfId="0" applyFont="1" applyFill="1" applyBorder="1" applyAlignment="1">
      <alignment horizontal="center" vertical="top" wrapText="1"/>
    </xf>
    <xf numFmtId="3" fontId="2" fillId="3" borderId="0" xfId="0" applyNumberFormat="1" applyFont="1" applyFill="1" applyBorder="1"/>
    <xf numFmtId="4" fontId="0" fillId="0" borderId="0" xfId="0" applyNumberFormat="1" applyFill="1" applyAlignment="1">
      <alignment horizontal="center"/>
    </xf>
    <xf numFmtId="0" fontId="0" fillId="3" borderId="0" xfId="0" applyFont="1" applyFill="1" applyAlignment="1">
      <alignment horizontal="center"/>
    </xf>
    <xf numFmtId="0" fontId="2" fillId="0" borderId="0" xfId="0" applyFont="1"/>
    <xf numFmtId="0" fontId="2" fillId="3" borderId="0" xfId="0" applyFont="1" applyFill="1" applyAlignment="1">
      <alignment horizontal="left"/>
    </xf>
    <xf numFmtId="3" fontId="0" fillId="8" borderId="0" xfId="0" applyNumberFormat="1" applyFill="1" applyAlignment="1">
      <alignment horizontal="center"/>
    </xf>
    <xf numFmtId="0" fontId="0" fillId="8" borderId="0" xfId="0" applyFill="1" applyAlignment="1">
      <alignment horizontal="center"/>
    </xf>
    <xf numFmtId="0" fontId="4" fillId="8" borderId="0" xfId="0" applyFont="1" applyFill="1" applyAlignment="1">
      <alignment horizontal="center"/>
    </xf>
    <xf numFmtId="1" fontId="0" fillId="8" borderId="0" xfId="0" applyNumberFormat="1" applyFill="1" applyAlignment="1">
      <alignment horizontal="center"/>
    </xf>
    <xf numFmtId="1" fontId="4" fillId="8" borderId="0" xfId="0" applyNumberFormat="1" applyFont="1" applyFill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4" fillId="8" borderId="0" xfId="0" applyFont="1" applyFill="1"/>
    <xf numFmtId="165" fontId="3" fillId="8" borderId="0" xfId="0" applyNumberFormat="1" applyFont="1" applyFill="1" applyAlignment="1">
      <alignment horizontal="center"/>
    </xf>
    <xf numFmtId="0" fontId="0" fillId="8" borderId="0" xfId="0" applyFill="1"/>
    <xf numFmtId="0" fontId="3" fillId="8" borderId="0" xfId="0" applyFont="1" applyFill="1"/>
    <xf numFmtId="8" fontId="32" fillId="0" borderId="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 wrapText="1" shrinkToFit="1"/>
    </xf>
    <xf numFmtId="0" fontId="33" fillId="9" borderId="3" xfId="0" applyFont="1" applyFill="1" applyBorder="1" applyAlignment="1">
      <alignment horizontal="center" vertical="center" wrapText="1" shrinkToFit="1"/>
    </xf>
    <xf numFmtId="0" fontId="2" fillId="0" borderId="3" xfId="0" applyFont="1" applyFill="1" applyBorder="1" applyAlignment="1">
      <alignment horizontal="center" vertical="center" wrapText="1" shrinkToFit="1"/>
    </xf>
    <xf numFmtId="0" fontId="34" fillId="0" borderId="3" xfId="0" applyFont="1" applyFill="1" applyBorder="1" applyAlignment="1">
      <alignment horizontal="center" vertical="center" wrapText="1" shrinkToFit="1"/>
    </xf>
    <xf numFmtId="0" fontId="4" fillId="10" borderId="3" xfId="0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 shrinkToFit="1"/>
    </xf>
    <xf numFmtId="164" fontId="0" fillId="11" borderId="3" xfId="0" applyNumberForma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 shrinkToFit="1"/>
    </xf>
    <xf numFmtId="167" fontId="0" fillId="0" borderId="3" xfId="0" applyNumberForma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 wrapText="1"/>
    </xf>
    <xf numFmtId="164" fontId="0" fillId="0" borderId="3" xfId="0" applyNumberFormat="1" applyFill="1" applyBorder="1" applyAlignment="1">
      <alignment horizontal="center" vertical="center" wrapText="1" shrinkToFit="1"/>
    </xf>
    <xf numFmtId="0" fontId="0" fillId="0" borderId="0" xfId="0" applyAlignment="1">
      <alignment horizontal="left" vertical="center"/>
    </xf>
    <xf numFmtId="0" fontId="38" fillId="0" borderId="3" xfId="0" applyFont="1" applyFill="1" applyBorder="1" applyAlignment="1">
      <alignment horizontal="center" vertical="center" wrapText="1" shrinkToFit="1"/>
    </xf>
    <xf numFmtId="0" fontId="39" fillId="0" borderId="3" xfId="0" applyFont="1" applyFill="1" applyBorder="1" applyAlignment="1">
      <alignment horizontal="center" vertical="center" wrapText="1" shrinkToFit="1"/>
    </xf>
    <xf numFmtId="0" fontId="39" fillId="0" borderId="3" xfId="0" applyFont="1" applyFill="1" applyBorder="1" applyAlignment="1">
      <alignment horizontal="center" vertical="center"/>
    </xf>
    <xf numFmtId="164" fontId="0" fillId="12" borderId="3" xfId="0" applyNumberForma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 shrinkToFit="1"/>
    </xf>
    <xf numFmtId="0" fontId="21" fillId="0" borderId="3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9" fillId="0" borderId="0" xfId="0" applyFont="1" applyFill="1" applyBorder="1" applyAlignment="1">
      <alignment horizontal="center" vertical="center" wrapText="1" shrinkToFit="1"/>
    </xf>
    <xf numFmtId="164" fontId="0" fillId="12" borderId="3" xfId="0" applyNumberFormat="1" applyFill="1" applyBorder="1" applyAlignment="1">
      <alignment horizontal="center" vertical="center" wrapText="1" shrinkToFit="1"/>
    </xf>
    <xf numFmtId="164" fontId="0" fillId="6" borderId="3" xfId="0" applyNumberFormat="1" applyFill="1" applyBorder="1" applyAlignment="1">
      <alignment horizontal="center" vertical="center" wrapText="1"/>
    </xf>
    <xf numFmtId="164" fontId="2" fillId="6" borderId="3" xfId="0" applyNumberFormat="1" applyFont="1" applyFill="1" applyBorder="1" applyAlignment="1">
      <alignment horizontal="center" vertical="center" wrapText="1"/>
    </xf>
    <xf numFmtId="164" fontId="0" fillId="6" borderId="45" xfId="0" applyNumberForma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" fontId="41" fillId="0" borderId="3" xfId="0" applyNumberFormat="1" applyFont="1" applyFill="1" applyBorder="1" applyAlignment="1">
      <alignment vertical="center" wrapText="1"/>
    </xf>
    <xf numFmtId="1" fontId="41" fillId="0" borderId="0" xfId="0" applyNumberFormat="1" applyFont="1" applyFill="1" applyBorder="1" applyAlignment="1">
      <alignment vertical="center" wrapText="1"/>
    </xf>
    <xf numFmtId="0" fontId="2" fillId="14" borderId="3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 wrapText="1"/>
    </xf>
    <xf numFmtId="0" fontId="2" fillId="15" borderId="3" xfId="0" applyFont="1" applyFill="1" applyBorder="1" applyAlignment="1">
      <alignment horizontal="center" vertical="center"/>
    </xf>
    <xf numFmtId="167" fontId="2" fillId="15" borderId="3" xfId="0" applyNumberFormat="1" applyFont="1" applyFill="1" applyBorder="1" applyAlignment="1">
      <alignment horizontal="center" vertical="center" wrapText="1"/>
    </xf>
    <xf numFmtId="167" fontId="42" fillId="0" borderId="0" xfId="0" applyNumberFormat="1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/>
    </xf>
    <xf numFmtId="0" fontId="2" fillId="16" borderId="3" xfId="0" applyFont="1" applyFill="1" applyBorder="1" applyAlignment="1">
      <alignment horizontal="center" vertical="center" wrapText="1"/>
    </xf>
    <xf numFmtId="0" fontId="42" fillId="8" borderId="3" xfId="0" applyFont="1" applyFill="1" applyBorder="1" applyAlignment="1">
      <alignment horizontal="center" vertical="center"/>
    </xf>
    <xf numFmtId="0" fontId="42" fillId="8" borderId="3" xfId="0" applyFont="1" applyFill="1" applyBorder="1" applyAlignment="1">
      <alignment horizontal="center" vertical="center" wrapText="1"/>
    </xf>
    <xf numFmtId="0" fontId="42" fillId="11" borderId="3" xfId="0" applyFont="1" applyFill="1" applyBorder="1" applyAlignment="1">
      <alignment horizontal="center" vertical="center"/>
    </xf>
    <xf numFmtId="167" fontId="43" fillId="0" borderId="3" xfId="0" applyNumberFormat="1" applyFont="1" applyFill="1" applyBorder="1" applyAlignment="1">
      <alignment horizontal="center" vertical="center" wrapText="1"/>
    </xf>
    <xf numFmtId="167" fontId="43" fillId="0" borderId="3" xfId="0" applyNumberFormat="1" applyFont="1" applyFill="1" applyBorder="1" applyAlignment="1">
      <alignment horizontal="center" vertical="center"/>
    </xf>
    <xf numFmtId="164" fontId="43" fillId="0" borderId="3" xfId="0" applyNumberFormat="1" applyFont="1" applyFill="1" applyBorder="1" applyAlignment="1">
      <alignment horizontal="center" vertical="center" wrapText="1"/>
    </xf>
    <xf numFmtId="167" fontId="43" fillId="14" borderId="3" xfId="0" applyNumberFormat="1" applyFont="1" applyFill="1" applyBorder="1" applyAlignment="1">
      <alignment horizontal="center" vertical="center" wrapText="1"/>
    </xf>
    <xf numFmtId="2" fontId="43" fillId="14" borderId="3" xfId="0" applyNumberFormat="1" applyFont="1" applyFill="1" applyBorder="1" applyAlignment="1">
      <alignment horizontal="center" vertical="center"/>
    </xf>
    <xf numFmtId="167" fontId="43" fillId="14" borderId="3" xfId="0" applyNumberFormat="1" applyFont="1" applyFill="1" applyBorder="1" applyAlignment="1">
      <alignment horizontal="center" vertical="center"/>
    </xf>
    <xf numFmtId="2" fontId="43" fillId="14" borderId="3" xfId="0" applyNumberFormat="1" applyFont="1" applyFill="1" applyBorder="1" applyAlignment="1">
      <alignment horizontal="center" vertical="center" wrapText="1"/>
    </xf>
    <xf numFmtId="0" fontId="43" fillId="14" borderId="3" xfId="0" applyFont="1" applyFill="1" applyBorder="1" applyAlignment="1">
      <alignment horizontal="center" vertical="center" wrapText="1"/>
    </xf>
    <xf numFmtId="167" fontId="43" fillId="17" borderId="3" xfId="0" applyNumberFormat="1" applyFont="1" applyFill="1" applyBorder="1" applyAlignment="1">
      <alignment horizontal="center" vertical="center" wrapText="1"/>
    </xf>
    <xf numFmtId="0" fontId="43" fillId="17" borderId="3" xfId="0" applyFont="1" applyFill="1" applyBorder="1" applyAlignment="1">
      <alignment horizontal="center" vertical="center"/>
    </xf>
    <xf numFmtId="167" fontId="43" fillId="17" borderId="3" xfId="0" applyNumberFormat="1" applyFont="1" applyFill="1" applyBorder="1" applyAlignment="1">
      <alignment horizontal="center" vertical="center"/>
    </xf>
    <xf numFmtId="2" fontId="43" fillId="17" borderId="3" xfId="0" applyNumberFormat="1" applyFont="1" applyFill="1" applyBorder="1" applyAlignment="1">
      <alignment horizontal="center" vertical="center" wrapText="1"/>
    </xf>
    <xf numFmtId="167" fontId="43" fillId="16" borderId="3" xfId="0" applyNumberFormat="1" applyFont="1" applyFill="1" applyBorder="1" applyAlignment="1">
      <alignment horizontal="center" vertical="center" wrapText="1"/>
    </xf>
    <xf numFmtId="0" fontId="43" fillId="16" borderId="3" xfId="0" applyFont="1" applyFill="1" applyBorder="1" applyAlignment="1">
      <alignment horizontal="center" vertical="center"/>
    </xf>
    <xf numFmtId="0" fontId="43" fillId="16" borderId="3" xfId="0" applyFont="1" applyFill="1" applyBorder="1" applyAlignment="1">
      <alignment horizontal="center" vertical="center" wrapText="1"/>
    </xf>
    <xf numFmtId="2" fontId="43" fillId="16" borderId="3" xfId="0" applyNumberFormat="1" applyFont="1" applyFill="1" applyBorder="1" applyAlignment="1">
      <alignment horizontal="center" vertical="center" wrapText="1"/>
    </xf>
    <xf numFmtId="167" fontId="43" fillId="16" borderId="3" xfId="0" applyNumberFormat="1" applyFont="1" applyFill="1" applyBorder="1" applyAlignment="1">
      <alignment horizontal="center" vertical="center"/>
    </xf>
    <xf numFmtId="167" fontId="43" fillId="8" borderId="3" xfId="0" applyNumberFormat="1" applyFont="1" applyFill="1" applyBorder="1" applyAlignment="1">
      <alignment horizontal="center" vertical="center" wrapText="1"/>
    </xf>
    <xf numFmtId="167" fontId="43" fillId="8" borderId="3" xfId="0" applyNumberFormat="1" applyFont="1" applyFill="1" applyBorder="1" applyAlignment="1">
      <alignment horizontal="center" vertical="center"/>
    </xf>
    <xf numFmtId="2" fontId="43" fillId="8" borderId="3" xfId="0" applyNumberFormat="1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left" vertical="center"/>
    </xf>
    <xf numFmtId="0" fontId="0" fillId="6" borderId="3" xfId="0" applyFill="1" applyBorder="1" applyAlignment="1">
      <alignment horizontal="center" vertical="center"/>
    </xf>
    <xf numFmtId="0" fontId="37" fillId="12" borderId="3" xfId="0" applyFont="1" applyFill="1" applyBorder="1" applyAlignment="1">
      <alignment horizontal="left" vertical="center"/>
    </xf>
    <xf numFmtId="0" fontId="37" fillId="12" borderId="3" xfId="0" applyFont="1" applyFill="1" applyBorder="1" applyAlignment="1">
      <alignment horizontal="center" vertical="center"/>
    </xf>
    <xf numFmtId="0" fontId="0" fillId="13" borderId="3" xfId="0" applyFill="1" applyBorder="1" applyAlignment="1">
      <alignment horizontal="left" vertical="center"/>
    </xf>
    <xf numFmtId="0" fontId="0" fillId="13" borderId="3" xfId="0" applyFill="1" applyBorder="1" applyAlignment="1">
      <alignment horizontal="center" vertical="center"/>
    </xf>
    <xf numFmtId="0" fontId="0" fillId="7" borderId="3" xfId="0" applyFill="1" applyBorder="1" applyAlignment="1">
      <alignment horizontal="left" vertical="center"/>
    </xf>
    <xf numFmtId="0" fontId="0" fillId="7" borderId="3" xfId="0" applyFill="1" applyBorder="1" applyAlignment="1">
      <alignment horizontal="center" vertical="center"/>
    </xf>
    <xf numFmtId="0" fontId="2" fillId="11" borderId="3" xfId="0" applyFont="1" applyFill="1" applyBorder="1" applyAlignment="1">
      <alignment horizontal="left" vertical="center"/>
    </xf>
    <xf numFmtId="0" fontId="0" fillId="11" borderId="3" xfId="0" applyFill="1" applyBorder="1"/>
    <xf numFmtId="0" fontId="0" fillId="11" borderId="3" xfId="0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3" fontId="44" fillId="0" borderId="0" xfId="0" applyNumberFormat="1" applyFont="1" applyBorder="1" applyAlignment="1">
      <alignment horizontal="justify"/>
    </xf>
    <xf numFmtId="8" fontId="0" fillId="8" borderId="0" xfId="0" applyNumberFormat="1" applyFill="1"/>
    <xf numFmtId="3" fontId="3" fillId="8" borderId="0" xfId="0" applyNumberFormat="1" applyFont="1" applyFill="1" applyAlignment="1">
      <alignment horizontal="center"/>
    </xf>
    <xf numFmtId="0" fontId="45" fillId="18" borderId="46" xfId="4" applyFont="1" applyFill="1" applyBorder="1" applyAlignment="1">
      <alignment horizontal="center" vertical="top" wrapText="1"/>
    </xf>
    <xf numFmtId="0" fontId="45" fillId="18" borderId="9" xfId="4" applyFont="1" applyFill="1" applyBorder="1" applyAlignment="1">
      <alignment horizontal="center" vertical="top" wrapText="1"/>
    </xf>
    <xf numFmtId="0" fontId="46" fillId="0" borderId="10" xfId="4" applyFont="1" applyBorder="1"/>
    <xf numFmtId="3" fontId="46" fillId="0" borderId="9" xfId="4" applyNumberFormat="1" applyFont="1" applyBorder="1" applyAlignment="1">
      <alignment horizontal="right"/>
    </xf>
    <xf numFmtId="0" fontId="46" fillId="0" borderId="9" xfId="4" applyFont="1" applyBorder="1" applyAlignment="1">
      <alignment horizontal="right" vertical="top" wrapText="1"/>
    </xf>
    <xf numFmtId="0" fontId="46" fillId="0" borderId="9" xfId="4" applyFont="1" applyBorder="1" applyAlignment="1">
      <alignment horizontal="center" vertical="top" wrapText="1"/>
    </xf>
    <xf numFmtId="0" fontId="45" fillId="0" borderId="10" xfId="4" applyFont="1" applyBorder="1"/>
    <xf numFmtId="3" fontId="45" fillId="0" borderId="9" xfId="4" applyNumberFormat="1" applyFont="1" applyBorder="1" applyAlignment="1">
      <alignment horizontal="right"/>
    </xf>
    <xf numFmtId="3" fontId="45" fillId="0" borderId="9" xfId="4" applyNumberFormat="1" applyFont="1" applyBorder="1" applyAlignment="1">
      <alignment horizontal="right" vertical="top" wrapText="1"/>
    </xf>
    <xf numFmtId="0" fontId="45" fillId="0" borderId="9" xfId="4" applyFont="1" applyBorder="1" applyAlignment="1">
      <alignment horizontal="center" vertical="top" wrapText="1"/>
    </xf>
    <xf numFmtId="0" fontId="31" fillId="0" borderId="0" xfId="0" applyFont="1"/>
    <xf numFmtId="0" fontId="2" fillId="8" borderId="0" xfId="0" applyFont="1" applyFill="1"/>
    <xf numFmtId="0" fontId="44" fillId="0" borderId="47" xfId="0" applyFont="1" applyBorder="1" applyAlignment="1">
      <alignment horizontal="justify"/>
    </xf>
    <xf numFmtId="3" fontId="44" fillId="0" borderId="10" xfId="0" applyNumberFormat="1" applyFont="1" applyBorder="1" applyAlignment="1">
      <alignment horizontal="right" wrapText="1"/>
    </xf>
    <xf numFmtId="3" fontId="44" fillId="0" borderId="9" xfId="0" applyNumberFormat="1" applyFont="1" applyBorder="1" applyAlignment="1">
      <alignment horizontal="right"/>
    </xf>
    <xf numFmtId="9" fontId="44" fillId="0" borderId="9" xfId="0" applyNumberFormat="1" applyFont="1" applyBorder="1" applyAlignment="1">
      <alignment horizontal="right" vertical="top" wrapText="1"/>
    </xf>
    <xf numFmtId="0" fontId="47" fillId="0" borderId="47" xfId="0" applyFont="1" applyBorder="1" applyAlignment="1">
      <alignment horizontal="justify"/>
    </xf>
    <xf numFmtId="1" fontId="3" fillId="3" borderId="0" xfId="0" applyNumberFormat="1" applyFont="1" applyFill="1" applyAlignment="1">
      <alignment horizontal="center"/>
    </xf>
    <xf numFmtId="1" fontId="3" fillId="0" borderId="0" xfId="0" applyNumberFormat="1" applyFont="1" applyFill="1"/>
    <xf numFmtId="3" fontId="0" fillId="0" borderId="3" xfId="0" applyNumberFormat="1" applyBorder="1" applyAlignment="1">
      <alignment horizontal="center"/>
    </xf>
    <xf numFmtId="0" fontId="4" fillId="0" borderId="0" xfId="0" applyFont="1"/>
    <xf numFmtId="0" fontId="4" fillId="0" borderId="43" xfId="0" applyFont="1" applyBorder="1" applyAlignment="1">
      <alignment horizontal="left"/>
    </xf>
    <xf numFmtId="3" fontId="4" fillId="0" borderId="48" xfId="0" applyNumberFormat="1" applyFont="1" applyBorder="1" applyAlignment="1">
      <alignment horizontal="center"/>
    </xf>
    <xf numFmtId="3" fontId="4" fillId="0" borderId="44" xfId="0" applyNumberFormat="1" applyFont="1" applyBorder="1" applyAlignment="1">
      <alignment horizontal="center"/>
    </xf>
    <xf numFmtId="0" fontId="4" fillId="0" borderId="11" xfId="0" applyFont="1" applyBorder="1"/>
    <xf numFmtId="3" fontId="0" fillId="0" borderId="5" xfId="0" applyNumberFormat="1" applyBorder="1" applyAlignment="1">
      <alignment horizontal="center"/>
    </xf>
    <xf numFmtId="0" fontId="4" fillId="0" borderId="19" xfId="0" applyFont="1" applyFill="1" applyBorder="1"/>
    <xf numFmtId="3" fontId="0" fillId="0" borderId="49" xfId="0" applyNumberFormat="1" applyBorder="1" applyAlignment="1">
      <alignment horizontal="center"/>
    </xf>
    <xf numFmtId="3" fontId="0" fillId="0" borderId="20" xfId="0" applyNumberForma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8" fillId="0" borderId="0" xfId="0" applyFont="1" applyFill="1" applyBorder="1" applyAlignment="1">
      <alignment vertical="top" wrapText="1"/>
    </xf>
    <xf numFmtId="0" fontId="4" fillId="0" borderId="0" xfId="0" applyFont="1" applyAlignment="1"/>
    <xf numFmtId="0" fontId="0" fillId="0" borderId="0" xfId="0" quotePrefix="1" applyFill="1" applyAlignment="1">
      <alignment horizontal="center"/>
    </xf>
    <xf numFmtId="0" fontId="4" fillId="19" borderId="0" xfId="0" applyFont="1" applyFill="1" applyAlignment="1">
      <alignment wrapText="1"/>
    </xf>
    <xf numFmtId="0" fontId="4" fillId="19" borderId="0" xfId="0" applyFont="1" applyFill="1"/>
    <xf numFmtId="0" fontId="4" fillId="19" borderId="0" xfId="0" applyFont="1" applyFill="1" applyBorder="1"/>
    <xf numFmtId="164" fontId="0" fillId="0" borderId="0" xfId="0" applyNumberFormat="1" applyFill="1" applyAlignment="1">
      <alignment horizontal="center"/>
    </xf>
    <xf numFmtId="164" fontId="0" fillId="0" borderId="0" xfId="0" applyNumberFormat="1" applyFill="1"/>
    <xf numFmtId="3" fontId="2" fillId="3" borderId="0" xfId="0" applyNumberFormat="1" applyFont="1" applyFill="1" applyAlignment="1">
      <alignment horizontal="center"/>
    </xf>
    <xf numFmtId="0" fontId="4" fillId="20" borderId="0" xfId="0" applyFont="1" applyFill="1"/>
    <xf numFmtId="8" fontId="30" fillId="8" borderId="0" xfId="0" applyNumberFormat="1" applyFont="1" applyFill="1" applyBorder="1" applyAlignment="1">
      <alignment horizontal="center"/>
    </xf>
    <xf numFmtId="0" fontId="4" fillId="21" borderId="0" xfId="0" applyFont="1" applyFill="1"/>
    <xf numFmtId="3" fontId="3" fillId="21" borderId="0" xfId="0" applyNumberFormat="1" applyFont="1" applyFill="1" applyAlignment="1">
      <alignment horizontal="center"/>
    </xf>
    <xf numFmtId="3" fontId="0" fillId="21" borderId="0" xfId="0" applyNumberFormat="1" applyFill="1" applyAlignment="1">
      <alignment horizontal="center"/>
    </xf>
    <xf numFmtId="0" fontId="0" fillId="21" borderId="0" xfId="0" applyFill="1" applyAlignment="1">
      <alignment horizontal="center"/>
    </xf>
    <xf numFmtId="1" fontId="0" fillId="21" borderId="0" xfId="0" applyNumberFormat="1" applyFill="1" applyAlignment="1">
      <alignment horizontal="center"/>
    </xf>
    <xf numFmtId="8" fontId="32" fillId="21" borderId="0" xfId="0" applyNumberFormat="1" applyFont="1" applyFill="1" applyBorder="1" applyAlignment="1">
      <alignment horizontal="center"/>
    </xf>
    <xf numFmtId="0" fontId="3" fillId="21" borderId="0" xfId="0" applyFont="1" applyFill="1"/>
    <xf numFmtId="3" fontId="4" fillId="21" borderId="0" xfId="0" applyNumberFormat="1" applyFont="1" applyFill="1" applyAlignment="1">
      <alignment horizontal="center"/>
    </xf>
    <xf numFmtId="0" fontId="0" fillId="21" borderId="0" xfId="0" applyFill="1"/>
    <xf numFmtId="0" fontId="2" fillId="21" borderId="0" xfId="0" applyFont="1" applyFill="1"/>
    <xf numFmtId="0" fontId="4" fillId="3" borderId="0" xfId="0" applyFon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1" fontId="3" fillId="0" borderId="0" xfId="0" applyNumberFormat="1" applyFont="1" applyFill="1" applyAlignment="1">
      <alignment horizontal="center"/>
    </xf>
    <xf numFmtId="3" fontId="3" fillId="11" borderId="0" xfId="0" applyNumberFormat="1" applyFont="1" applyFill="1" applyAlignment="1">
      <alignment horizontal="center"/>
    </xf>
    <xf numFmtId="0" fontId="4" fillId="3" borderId="0" xfId="0" applyFont="1" applyFill="1" applyBorder="1" applyAlignment="1">
      <alignment horizontal="center" vertical="top"/>
    </xf>
    <xf numFmtId="170" fontId="0" fillId="3" borderId="0" xfId="1" applyNumberFormat="1" applyFont="1" applyFill="1" applyAlignment="1">
      <alignment horizontal="center"/>
    </xf>
    <xf numFmtId="3" fontId="6" fillId="3" borderId="0" xfId="0" applyNumberFormat="1" applyFont="1" applyFill="1" applyAlignment="1"/>
    <xf numFmtId="0" fontId="9" fillId="3" borderId="0" xfId="0" applyFont="1" applyFill="1" applyAlignment="1"/>
    <xf numFmtId="3" fontId="6" fillId="3" borderId="0" xfId="0" applyNumberFormat="1" applyFont="1" applyFill="1"/>
    <xf numFmtId="0" fontId="6" fillId="3" borderId="0" xfId="0" applyFont="1" applyFill="1"/>
    <xf numFmtId="0" fontId="9" fillId="3" borderId="0" xfId="0" applyFont="1" applyFill="1"/>
    <xf numFmtId="3" fontId="9" fillId="3" borderId="0" xfId="0" applyNumberFormat="1" applyFont="1" applyFill="1"/>
    <xf numFmtId="0" fontId="0" fillId="0" borderId="0" xfId="0" applyAlignment="1">
      <alignment horizontal="center"/>
    </xf>
    <xf numFmtId="3" fontId="4" fillId="3" borderId="0" xfId="0" applyNumberFormat="1" applyFont="1" applyFill="1" applyBorder="1" applyAlignment="1">
      <alignment horizontal="center"/>
    </xf>
    <xf numFmtId="0" fontId="4" fillId="3" borderId="0" xfId="0" applyNumberFormat="1" applyFont="1" applyFill="1" applyBorder="1" applyAlignment="1">
      <alignment horizontal="center"/>
    </xf>
    <xf numFmtId="0" fontId="3" fillId="22" borderId="0" xfId="0" applyFont="1" applyFill="1"/>
    <xf numFmtId="0" fontId="4" fillId="22" borderId="0" xfId="0" quotePrefix="1" applyNumberFormat="1" applyFont="1" applyFill="1" applyAlignment="1">
      <alignment horizontal="center"/>
    </xf>
    <xf numFmtId="0" fontId="2" fillId="22" borderId="0" xfId="0" applyFont="1" applyFill="1" applyAlignment="1">
      <alignment horizontal="left"/>
    </xf>
    <xf numFmtId="3" fontId="3" fillId="22" borderId="0" xfId="0" applyNumberFormat="1" applyFont="1" applyFill="1" applyAlignment="1">
      <alignment horizontal="center"/>
    </xf>
    <xf numFmtId="0" fontId="0" fillId="22" borderId="0" xfId="0" applyFill="1" applyAlignment="1">
      <alignment horizontal="center"/>
    </xf>
    <xf numFmtId="0" fontId="3" fillId="22" borderId="0" xfId="0" applyFont="1" applyFill="1" applyAlignment="1">
      <alignment horizontal="left"/>
    </xf>
    <xf numFmtId="3" fontId="0" fillId="22" borderId="0" xfId="0" applyNumberFormat="1" applyFill="1" applyAlignment="1">
      <alignment horizontal="center"/>
    </xf>
    <xf numFmtId="0" fontId="4" fillId="0" borderId="0" xfId="0" quotePrefix="1" applyNumberFormat="1" applyFont="1" applyFill="1" applyAlignment="1">
      <alignment horizontal="center"/>
    </xf>
    <xf numFmtId="0" fontId="4" fillId="22" borderId="0" xfId="0" applyFont="1" applyFill="1" applyAlignment="1"/>
    <xf numFmtId="0" fontId="4" fillId="22" borderId="0" xfId="0" applyFont="1" applyFill="1" applyAlignment="1">
      <alignment horizontal="left"/>
    </xf>
    <xf numFmtId="0" fontId="4" fillId="22" borderId="0" xfId="0" applyFont="1" applyFill="1"/>
    <xf numFmtId="3" fontId="4" fillId="22" borderId="0" xfId="0" quotePrefix="1" applyNumberFormat="1" applyFont="1" applyFill="1" applyAlignment="1">
      <alignment horizontal="center"/>
    </xf>
    <xf numFmtId="0" fontId="3" fillId="22" borderId="0" xfId="0" applyFont="1" applyFill="1" applyAlignment="1">
      <alignment horizontal="center"/>
    </xf>
    <xf numFmtId="0" fontId="2" fillId="22" borderId="0" xfId="0" applyFont="1" applyFill="1"/>
    <xf numFmtId="0" fontId="0" fillId="22" borderId="0" xfId="0" applyFill="1"/>
    <xf numFmtId="3" fontId="3" fillId="22" borderId="0" xfId="0" quotePrefix="1" applyNumberFormat="1" applyFont="1" applyFill="1" applyAlignment="1">
      <alignment horizontal="center"/>
    </xf>
    <xf numFmtId="3" fontId="3" fillId="0" borderId="0" xfId="0" quotePrefix="1" applyNumberFormat="1" applyFont="1" applyFill="1" applyAlignment="1">
      <alignment horizontal="center"/>
    </xf>
    <xf numFmtId="0" fontId="4" fillId="22" borderId="0" xfId="0" applyFont="1" applyFill="1" applyAlignment="1">
      <alignment horizontal="center"/>
    </xf>
    <xf numFmtId="3" fontId="2" fillId="22" borderId="0" xfId="0" applyNumberFormat="1" applyFont="1" applyFill="1" applyAlignment="1">
      <alignment horizontal="center"/>
    </xf>
    <xf numFmtId="9" fontId="4" fillId="22" borderId="0" xfId="3" applyFont="1" applyFill="1" applyAlignment="1">
      <alignment horizontal="center"/>
    </xf>
    <xf numFmtId="9" fontId="2" fillId="22" borderId="0" xfId="3" applyFont="1" applyFill="1" applyAlignment="1">
      <alignment horizontal="center"/>
    </xf>
    <xf numFmtId="9" fontId="4" fillId="0" borderId="0" xfId="3" applyFont="1" applyFill="1" applyAlignment="1">
      <alignment horizontal="center"/>
    </xf>
    <xf numFmtId="1" fontId="0" fillId="22" borderId="0" xfId="0" applyNumberFormat="1" applyFill="1" applyAlignment="1">
      <alignment horizontal="center"/>
    </xf>
    <xf numFmtId="0" fontId="0" fillId="22" borderId="0" xfId="0" quotePrefix="1" applyFill="1" applyAlignment="1">
      <alignment horizontal="center"/>
    </xf>
    <xf numFmtId="1" fontId="4" fillId="22" borderId="0" xfId="0" applyNumberFormat="1" applyFont="1" applyFill="1" applyAlignment="1">
      <alignment horizontal="center"/>
    </xf>
    <xf numFmtId="164" fontId="0" fillId="22" borderId="0" xfId="0" applyNumberFormat="1" applyFill="1" applyAlignment="1">
      <alignment horizontal="center"/>
    </xf>
    <xf numFmtId="3" fontId="4" fillId="22" borderId="0" xfId="0" applyNumberFormat="1" applyFont="1" applyFill="1" applyAlignment="1">
      <alignment horizontal="center"/>
    </xf>
    <xf numFmtId="165" fontId="0" fillId="22" borderId="0" xfId="0" applyNumberFormat="1" applyFill="1" applyAlignment="1">
      <alignment horizontal="center"/>
    </xf>
    <xf numFmtId="165" fontId="4" fillId="22" borderId="0" xfId="0" applyNumberFormat="1" applyFont="1" applyFill="1" applyAlignment="1">
      <alignment horizontal="center"/>
    </xf>
    <xf numFmtId="165" fontId="3" fillId="22" borderId="0" xfId="0" quotePrefix="1" applyNumberFormat="1" applyFont="1" applyFill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0" fontId="4" fillId="22" borderId="0" xfId="0" applyFont="1" applyFill="1" applyAlignment="1">
      <alignment wrapText="1"/>
    </xf>
    <xf numFmtId="3" fontId="4" fillId="22" borderId="0" xfId="0" quotePrefix="1" applyNumberFormat="1" applyFont="1" applyFill="1" applyBorder="1" applyAlignment="1">
      <alignment horizontal="center"/>
    </xf>
    <xf numFmtId="0" fontId="4" fillId="22" borderId="0" xfId="0" applyFont="1" applyFill="1" applyBorder="1" applyAlignment="1">
      <alignment horizontal="center"/>
    </xf>
    <xf numFmtId="3" fontId="3" fillId="22" borderId="0" xfId="0" applyNumberFormat="1" applyFont="1" applyFill="1" applyBorder="1"/>
    <xf numFmtId="3" fontId="3" fillId="22" borderId="0" xfId="0" applyNumberFormat="1" applyFont="1" applyFill="1" applyBorder="1" applyAlignment="1">
      <alignment horizontal="center"/>
    </xf>
    <xf numFmtId="3" fontId="0" fillId="22" borderId="0" xfId="0" applyNumberFormat="1" applyFill="1" applyBorder="1" applyAlignment="1">
      <alignment horizontal="center"/>
    </xf>
    <xf numFmtId="0" fontId="0" fillId="22" borderId="0" xfId="0" applyFill="1" applyBorder="1" applyAlignment="1">
      <alignment horizontal="center"/>
    </xf>
    <xf numFmtId="3" fontId="2" fillId="22" borderId="0" xfId="0" applyNumberFormat="1" applyFont="1" applyFill="1" applyBorder="1"/>
    <xf numFmtId="165" fontId="3" fillId="22" borderId="0" xfId="0" applyNumberFormat="1" applyFont="1" applyFill="1" applyBorder="1" applyAlignment="1">
      <alignment horizontal="center"/>
    </xf>
    <xf numFmtId="165" fontId="0" fillId="22" borderId="0" xfId="0" applyNumberFormat="1" applyFill="1" applyBorder="1" applyAlignment="1">
      <alignment horizontal="center"/>
    </xf>
    <xf numFmtId="165" fontId="3" fillId="22" borderId="0" xfId="0" applyNumberFormat="1" applyFont="1" applyFill="1" applyAlignment="1">
      <alignment horizontal="center"/>
    </xf>
    <xf numFmtId="0" fontId="2" fillId="22" borderId="0" xfId="0" applyFont="1" applyFill="1" applyBorder="1" applyAlignment="1">
      <alignment horizontal="left" vertical="center"/>
    </xf>
    <xf numFmtId="0" fontId="2" fillId="22" borderId="0" xfId="0" applyFont="1" applyFill="1" applyBorder="1" applyAlignment="1">
      <alignment horizontal="center" vertical="center"/>
    </xf>
    <xf numFmtId="0" fontId="2" fillId="22" borderId="0" xfId="0" applyFont="1" applyFill="1" applyBorder="1" applyAlignment="1">
      <alignment horizontal="center"/>
    </xf>
    <xf numFmtId="0" fontId="43" fillId="22" borderId="0" xfId="0" applyFont="1" applyFill="1" applyAlignment="1">
      <alignment horizontal="center"/>
    </xf>
    <xf numFmtId="0" fontId="9" fillId="22" borderId="0" xfId="0" applyFont="1" applyFill="1" applyBorder="1" applyAlignment="1">
      <alignment horizontal="center" vertical="top" wrapText="1"/>
    </xf>
    <xf numFmtId="0" fontId="6" fillId="22" borderId="0" xfId="0" applyFont="1" applyFill="1" applyBorder="1" applyAlignment="1">
      <alignment vertical="top" wrapText="1"/>
    </xf>
    <xf numFmtId="0" fontId="6" fillId="22" borderId="0" xfId="0" applyFont="1" applyFill="1" applyBorder="1" applyAlignment="1">
      <alignment horizontal="center" vertical="top" wrapText="1"/>
    </xf>
    <xf numFmtId="0" fontId="3" fillId="22" borderId="0" xfId="0" applyFont="1" applyFill="1" applyBorder="1" applyAlignment="1">
      <alignment horizontal="center" vertical="center" wrapText="1" shrinkToFit="1"/>
    </xf>
    <xf numFmtId="0" fontId="3" fillId="22" borderId="0" xfId="0" quotePrefix="1" applyFont="1" applyFill="1" applyAlignment="1">
      <alignment horizontal="left"/>
    </xf>
    <xf numFmtId="165" fontId="3" fillId="22" borderId="0" xfId="0" applyNumberFormat="1" applyFont="1" applyFill="1"/>
    <xf numFmtId="3" fontId="3" fillId="22" borderId="0" xfId="0" applyNumberFormat="1" applyFont="1" applyFill="1"/>
    <xf numFmtId="0" fontId="4" fillId="22" borderId="0" xfId="0" quotePrefix="1" applyFont="1" applyFill="1" applyAlignment="1">
      <alignment horizontal="center"/>
    </xf>
    <xf numFmtId="164" fontId="3" fillId="22" borderId="0" xfId="0" applyNumberFormat="1" applyFont="1" applyFill="1" applyAlignment="1">
      <alignment horizontal="center"/>
    </xf>
    <xf numFmtId="3" fontId="0" fillId="0" borderId="0" xfId="0" applyNumberFormat="1" applyFill="1" applyAlignment="1">
      <alignment horizontal="center" wrapText="1"/>
    </xf>
    <xf numFmtId="0" fontId="9" fillId="22" borderId="0" xfId="0" applyFont="1" applyFill="1" applyBorder="1" applyAlignment="1">
      <alignment vertical="top" wrapText="1"/>
    </xf>
    <xf numFmtId="0" fontId="29" fillId="22" borderId="0" xfId="0" applyFont="1" applyFill="1" applyBorder="1" applyAlignment="1">
      <alignment horizontal="center" vertical="top" wrapText="1"/>
    </xf>
    <xf numFmtId="1" fontId="4" fillId="22" borderId="0" xfId="0" quotePrefix="1" applyNumberFormat="1" applyFont="1" applyFill="1" applyAlignment="1">
      <alignment horizontal="center"/>
    </xf>
    <xf numFmtId="1" fontId="3" fillId="22" borderId="0" xfId="0" quotePrefix="1" applyNumberFormat="1" applyFont="1" applyFill="1" applyAlignment="1">
      <alignment horizontal="center"/>
    </xf>
    <xf numFmtId="1" fontId="2" fillId="22" borderId="0" xfId="0" applyNumberFormat="1" applyFont="1" applyFill="1" applyAlignment="1">
      <alignment horizontal="center"/>
    </xf>
    <xf numFmtId="9" fontId="0" fillId="22" borderId="0" xfId="0" applyNumberFormat="1" applyFill="1" applyAlignment="1">
      <alignment horizontal="center" wrapText="1"/>
    </xf>
    <xf numFmtId="0" fontId="4" fillId="22" borderId="43" xfId="0" applyFont="1" applyFill="1" applyBorder="1" applyAlignment="1">
      <alignment horizontal="left"/>
    </xf>
    <xf numFmtId="3" fontId="4" fillId="22" borderId="48" xfId="0" applyNumberFormat="1" applyFont="1" applyFill="1" applyBorder="1" applyAlignment="1">
      <alignment horizontal="center"/>
    </xf>
    <xf numFmtId="3" fontId="4" fillId="22" borderId="44" xfId="0" applyNumberFormat="1" applyFont="1" applyFill="1" applyBorder="1" applyAlignment="1">
      <alignment horizontal="center"/>
    </xf>
    <xf numFmtId="0" fontId="4" fillId="22" borderId="11" xfId="0" applyFont="1" applyFill="1" applyBorder="1"/>
    <xf numFmtId="0" fontId="0" fillId="22" borderId="3" xfId="0" applyFill="1" applyBorder="1"/>
    <xf numFmtId="165" fontId="0" fillId="22" borderId="3" xfId="0" applyNumberFormat="1" applyFill="1" applyBorder="1"/>
    <xf numFmtId="3" fontId="0" fillId="22" borderId="3" xfId="1" applyNumberFormat="1" applyFont="1" applyFill="1" applyBorder="1"/>
    <xf numFmtId="4" fontId="0" fillId="22" borderId="3" xfId="0" applyNumberFormat="1" applyFill="1" applyBorder="1"/>
    <xf numFmtId="0" fontId="4" fillId="22" borderId="19" xfId="0" applyFont="1" applyFill="1" applyBorder="1"/>
    <xf numFmtId="171" fontId="0" fillId="22" borderId="3" xfId="0" applyNumberFormat="1" applyFill="1" applyBorder="1"/>
    <xf numFmtId="0" fontId="4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5" fillId="18" borderId="26" xfId="4" applyFont="1" applyFill="1" applyBorder="1" applyAlignment="1">
      <alignment horizontal="center"/>
    </xf>
    <xf numFmtId="0" fontId="45" fillId="18" borderId="10" xfId="4" applyFont="1" applyFill="1" applyBorder="1" applyAlignment="1">
      <alignment horizontal="center"/>
    </xf>
    <xf numFmtId="0" fontId="45" fillId="18" borderId="26" xfId="4" applyFont="1" applyFill="1" applyBorder="1" applyAlignment="1">
      <alignment horizontal="center" vertical="center" wrapText="1"/>
    </xf>
    <xf numFmtId="0" fontId="45" fillId="18" borderId="10" xfId="4" applyFont="1" applyFill="1" applyBorder="1" applyAlignment="1">
      <alignment horizontal="center" vertical="center" wrapText="1"/>
    </xf>
    <xf numFmtId="0" fontId="45" fillId="18" borderId="26" xfId="4" applyFont="1" applyFill="1" applyBorder="1" applyAlignment="1">
      <alignment horizontal="center" vertical="center"/>
    </xf>
    <xf numFmtId="0" fontId="45" fillId="18" borderId="10" xfId="4" applyFont="1" applyFill="1" applyBorder="1" applyAlignment="1">
      <alignment horizontal="center" vertical="center"/>
    </xf>
    <xf numFmtId="0" fontId="45" fillId="18" borderId="26" xfId="4" applyFont="1" applyFill="1" applyBorder="1" applyAlignment="1">
      <alignment horizontal="center" vertical="top" wrapText="1"/>
    </xf>
    <xf numFmtId="0" fontId="45" fillId="18" borderId="10" xfId="4" applyFont="1" applyFill="1" applyBorder="1" applyAlignment="1">
      <alignment horizontal="center" vertical="top" wrapText="1"/>
    </xf>
    <xf numFmtId="0" fontId="6" fillId="0" borderId="26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26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28" xfId="0" applyFont="1" applyBorder="1" applyAlignment="1">
      <alignment horizontal="center" vertical="top" wrapText="1"/>
    </xf>
    <xf numFmtId="0" fontId="6" fillId="0" borderId="29" xfId="0" applyFont="1" applyBorder="1" applyAlignment="1">
      <alignment horizontal="center" vertical="top" wrapText="1"/>
    </xf>
    <xf numFmtId="0" fontId="6" fillId="0" borderId="26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27" xfId="0" applyFont="1" applyBorder="1" applyAlignment="1">
      <alignment horizontal="center" wrapText="1"/>
    </xf>
    <xf numFmtId="0" fontId="6" fillId="0" borderId="28" xfId="0" applyFont="1" applyBorder="1" applyAlignment="1">
      <alignment horizontal="center" wrapText="1"/>
    </xf>
    <xf numFmtId="0" fontId="6" fillId="0" borderId="29" xfId="0" applyFont="1" applyBorder="1" applyAlignment="1">
      <alignment horizontal="center" wrapText="1"/>
    </xf>
    <xf numFmtId="0" fontId="6" fillId="0" borderId="27" xfId="0" applyFont="1" applyBorder="1" applyAlignment="1">
      <alignment vertical="top" wrapText="1"/>
    </xf>
    <xf numFmtId="0" fontId="13" fillId="0" borderId="26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1" fillId="0" borderId="0" xfId="0" applyFont="1" applyBorder="1" applyAlignment="1">
      <alignment horizontal="center"/>
    </xf>
    <xf numFmtId="0" fontId="12" fillId="0" borderId="41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164" fontId="11" fillId="2" borderId="11" xfId="0" quotePrefix="1" applyNumberFormat="1" applyFont="1" applyFill="1" applyBorder="1" applyAlignment="1">
      <alignment horizontal="center" vertical="center" wrapText="1"/>
    </xf>
    <xf numFmtId="164" fontId="11" fillId="2" borderId="5" xfId="0" quotePrefix="1" applyNumberFormat="1" applyFont="1" applyFill="1" applyBorder="1" applyAlignment="1">
      <alignment horizontal="center" vertical="center" wrapText="1"/>
    </xf>
    <xf numFmtId="164" fontId="11" fillId="2" borderId="18" xfId="0" quotePrefix="1" applyNumberFormat="1" applyFont="1" applyFill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164" fontId="11" fillId="2" borderId="13" xfId="0" quotePrefix="1" applyNumberFormat="1" applyFont="1" applyFill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vertical="center" wrapText="1"/>
    </xf>
    <xf numFmtId="0" fontId="11" fillId="0" borderId="35" xfId="0" applyFont="1" applyBorder="1" applyAlignment="1">
      <alignment vertical="center" wrapText="1"/>
    </xf>
    <xf numFmtId="0" fontId="11" fillId="0" borderId="36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22" borderId="0" xfId="0" applyFont="1" applyFill="1" applyBorder="1" applyAlignment="1">
      <alignment horizontal="center" vertical="center"/>
    </xf>
    <xf numFmtId="0" fontId="0" fillId="22" borderId="0" xfId="0" applyFill="1" applyBorder="1" applyAlignment="1">
      <alignment horizontal="center" vertical="center"/>
    </xf>
    <xf numFmtId="172" fontId="6" fillId="22" borderId="0" xfId="0" applyNumberFormat="1" applyFont="1" applyFill="1" applyAlignment="1">
      <alignment horizontal="center"/>
    </xf>
    <xf numFmtId="0" fontId="6" fillId="22" borderId="0" xfId="0" applyFont="1" applyFill="1" applyAlignment="1">
      <alignment horizontal="center"/>
    </xf>
    <xf numFmtId="9" fontId="6" fillId="22" borderId="0" xfId="0" applyNumberFormat="1" applyFont="1" applyFill="1" applyBorder="1" applyAlignment="1">
      <alignment horizontal="center"/>
    </xf>
  </cellXfs>
  <cellStyles count="6">
    <cellStyle name="Euro" xfId="5"/>
    <cellStyle name="Moneda" xfId="1" builtinId="4"/>
    <cellStyle name="Normal" xfId="0" builtinId="0"/>
    <cellStyle name="Normal 2" xfId="4"/>
    <cellStyle name="Normal_2GPROPIO" xfId="2"/>
    <cellStyle name="Porcentual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3399"/>
      <color rgb="FF336699"/>
      <color rgb="FFFF0000"/>
      <color rgb="FFCC0000"/>
      <color rgb="FF99FF33"/>
      <color rgb="FFFF66FF"/>
      <color rgb="FFFF00FF"/>
      <color rgb="FF6600FF"/>
      <color rgb="FF66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12.xml"/><Relationship Id="rId18" Type="http://schemas.openxmlformats.org/officeDocument/2006/relationships/chartsheet" Target="chartsheets/sheet17.xml"/><Relationship Id="rId26" Type="http://schemas.openxmlformats.org/officeDocument/2006/relationships/chartsheet" Target="chartsheets/sheet25.xml"/><Relationship Id="rId39" Type="http://schemas.openxmlformats.org/officeDocument/2006/relationships/chartsheet" Target="chartsheets/sheet36.xml"/><Relationship Id="rId21" Type="http://schemas.openxmlformats.org/officeDocument/2006/relationships/chartsheet" Target="chartsheets/sheet20.xml"/><Relationship Id="rId34" Type="http://schemas.openxmlformats.org/officeDocument/2006/relationships/chartsheet" Target="chartsheets/sheet33.xml"/><Relationship Id="rId42" Type="http://schemas.openxmlformats.org/officeDocument/2006/relationships/chartsheet" Target="chartsheets/sheet39.xml"/><Relationship Id="rId47" Type="http://schemas.openxmlformats.org/officeDocument/2006/relationships/worksheet" Target="worksheets/sheet4.xml"/><Relationship Id="rId50" Type="http://schemas.openxmlformats.org/officeDocument/2006/relationships/chartsheet" Target="chartsheets/sheet45.xml"/><Relationship Id="rId55" Type="http://schemas.openxmlformats.org/officeDocument/2006/relationships/chartsheet" Target="chartsheets/sheet49.xml"/><Relationship Id="rId63" Type="http://schemas.openxmlformats.org/officeDocument/2006/relationships/styles" Target="styles.xml"/><Relationship Id="rId7" Type="http://schemas.openxmlformats.org/officeDocument/2006/relationships/chartsheet" Target="chartsheets/sheet7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15.xml"/><Relationship Id="rId20" Type="http://schemas.openxmlformats.org/officeDocument/2006/relationships/chartsheet" Target="chartsheets/sheet19.xml"/><Relationship Id="rId29" Type="http://schemas.openxmlformats.org/officeDocument/2006/relationships/chartsheet" Target="chartsheets/sheet28.xml"/><Relationship Id="rId41" Type="http://schemas.openxmlformats.org/officeDocument/2006/relationships/chartsheet" Target="chartsheets/sheet38.xml"/><Relationship Id="rId54" Type="http://schemas.openxmlformats.org/officeDocument/2006/relationships/worksheet" Target="worksheets/sheet6.xml"/><Relationship Id="rId62" Type="http://schemas.openxmlformats.org/officeDocument/2006/relationships/theme" Target="theme/theme1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chartsheet" Target="chartsheets/sheet10.xml"/><Relationship Id="rId24" Type="http://schemas.openxmlformats.org/officeDocument/2006/relationships/chartsheet" Target="chartsheets/sheet23.xml"/><Relationship Id="rId32" Type="http://schemas.openxmlformats.org/officeDocument/2006/relationships/chartsheet" Target="chartsheets/sheet31.xml"/><Relationship Id="rId37" Type="http://schemas.openxmlformats.org/officeDocument/2006/relationships/worksheet" Target="worksheets/sheet3.xml"/><Relationship Id="rId40" Type="http://schemas.openxmlformats.org/officeDocument/2006/relationships/chartsheet" Target="chartsheets/sheet37.xml"/><Relationship Id="rId45" Type="http://schemas.openxmlformats.org/officeDocument/2006/relationships/chartsheet" Target="chartsheets/sheet42.xml"/><Relationship Id="rId53" Type="http://schemas.openxmlformats.org/officeDocument/2006/relationships/chartsheet" Target="chartsheets/sheet48.xml"/><Relationship Id="rId58" Type="http://schemas.openxmlformats.org/officeDocument/2006/relationships/worksheet" Target="worksheets/sheet7.xml"/><Relationship Id="rId5" Type="http://schemas.openxmlformats.org/officeDocument/2006/relationships/chartsheet" Target="chartsheets/sheet5.xml"/><Relationship Id="rId15" Type="http://schemas.openxmlformats.org/officeDocument/2006/relationships/chartsheet" Target="chartsheets/sheet14.xml"/><Relationship Id="rId23" Type="http://schemas.openxmlformats.org/officeDocument/2006/relationships/chartsheet" Target="chartsheets/sheet22.xml"/><Relationship Id="rId28" Type="http://schemas.openxmlformats.org/officeDocument/2006/relationships/chartsheet" Target="chartsheets/sheet27.xml"/><Relationship Id="rId36" Type="http://schemas.openxmlformats.org/officeDocument/2006/relationships/worksheet" Target="worksheets/sheet2.xml"/><Relationship Id="rId49" Type="http://schemas.openxmlformats.org/officeDocument/2006/relationships/chartsheet" Target="chartsheets/sheet44.xml"/><Relationship Id="rId57" Type="http://schemas.openxmlformats.org/officeDocument/2006/relationships/chartsheet" Target="chartsheets/sheet51.xml"/><Relationship Id="rId61" Type="http://schemas.openxmlformats.org/officeDocument/2006/relationships/externalLink" Target="externalLinks/externalLink2.xml"/><Relationship Id="rId10" Type="http://schemas.openxmlformats.org/officeDocument/2006/relationships/chartsheet" Target="chartsheets/sheet9.xml"/><Relationship Id="rId19" Type="http://schemas.openxmlformats.org/officeDocument/2006/relationships/chartsheet" Target="chartsheets/sheet18.xml"/><Relationship Id="rId31" Type="http://schemas.openxmlformats.org/officeDocument/2006/relationships/chartsheet" Target="chartsheets/sheet30.xml"/><Relationship Id="rId44" Type="http://schemas.openxmlformats.org/officeDocument/2006/relationships/chartsheet" Target="chartsheets/sheet41.xml"/><Relationship Id="rId52" Type="http://schemas.openxmlformats.org/officeDocument/2006/relationships/chartsheet" Target="chartsheets/sheet47.xml"/><Relationship Id="rId60" Type="http://schemas.openxmlformats.org/officeDocument/2006/relationships/externalLink" Target="externalLinks/externalLink1.xml"/><Relationship Id="rId65" Type="http://schemas.openxmlformats.org/officeDocument/2006/relationships/calcChain" Target="calcChain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1.xml"/><Relationship Id="rId14" Type="http://schemas.openxmlformats.org/officeDocument/2006/relationships/chartsheet" Target="chartsheets/sheet13.xml"/><Relationship Id="rId22" Type="http://schemas.openxmlformats.org/officeDocument/2006/relationships/chartsheet" Target="chartsheets/sheet21.xml"/><Relationship Id="rId27" Type="http://schemas.openxmlformats.org/officeDocument/2006/relationships/chartsheet" Target="chartsheets/sheet26.xml"/><Relationship Id="rId30" Type="http://schemas.openxmlformats.org/officeDocument/2006/relationships/chartsheet" Target="chartsheets/sheet29.xml"/><Relationship Id="rId35" Type="http://schemas.openxmlformats.org/officeDocument/2006/relationships/chartsheet" Target="chartsheets/sheet34.xml"/><Relationship Id="rId43" Type="http://schemas.openxmlformats.org/officeDocument/2006/relationships/chartsheet" Target="chartsheets/sheet40.xml"/><Relationship Id="rId48" Type="http://schemas.openxmlformats.org/officeDocument/2006/relationships/worksheet" Target="worksheets/sheet5.xml"/><Relationship Id="rId56" Type="http://schemas.openxmlformats.org/officeDocument/2006/relationships/chartsheet" Target="chartsheets/sheet50.xml"/><Relationship Id="rId64" Type="http://schemas.openxmlformats.org/officeDocument/2006/relationships/sharedStrings" Target="sharedStrings.xml"/><Relationship Id="rId8" Type="http://schemas.openxmlformats.org/officeDocument/2006/relationships/chartsheet" Target="chartsheets/sheet8.xml"/><Relationship Id="rId51" Type="http://schemas.openxmlformats.org/officeDocument/2006/relationships/chartsheet" Target="chartsheets/sheet46.xml"/><Relationship Id="rId3" Type="http://schemas.openxmlformats.org/officeDocument/2006/relationships/chartsheet" Target="chartsheets/sheet3.xml"/><Relationship Id="rId12" Type="http://schemas.openxmlformats.org/officeDocument/2006/relationships/chartsheet" Target="chartsheets/sheet11.xml"/><Relationship Id="rId17" Type="http://schemas.openxmlformats.org/officeDocument/2006/relationships/chartsheet" Target="chartsheets/sheet16.xml"/><Relationship Id="rId25" Type="http://schemas.openxmlformats.org/officeDocument/2006/relationships/chartsheet" Target="chartsheets/sheet24.xml"/><Relationship Id="rId33" Type="http://schemas.openxmlformats.org/officeDocument/2006/relationships/chartsheet" Target="chartsheets/sheet32.xml"/><Relationship Id="rId38" Type="http://schemas.openxmlformats.org/officeDocument/2006/relationships/chartsheet" Target="chartsheets/sheet35.xml"/><Relationship Id="rId46" Type="http://schemas.openxmlformats.org/officeDocument/2006/relationships/chartsheet" Target="chartsheets/sheet43.xml"/><Relationship Id="rId59" Type="http://schemas.openxmlformats.org/officeDocument/2006/relationships/worksheet" Target="worksheets/sheet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2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23455419903810584"/>
          <c:y val="0.19575856443719444"/>
          <c:w val="0.76544580096190062"/>
          <c:h val="0.70581837955410565"/>
        </c:manualLayout>
      </c:layout>
      <c:barChart>
        <c:barDir val="col"/>
        <c:grouping val="clustered"/>
        <c:ser>
          <c:idx val="1"/>
          <c:order val="0"/>
          <c:tx>
            <c:strRef>
              <c:f>'Datos '!$I$570</c:f>
              <c:strCache>
                <c:ptCount val="1"/>
                <c:pt idx="0">
                  <c:v>PRESUPUESTO EJERCIDO FISCALES POR CAP. DE GASTO NOMINALES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8431372549019724E-4"/>
                  <c:y val="4.917599003224213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2874583795782731E-3"/>
                  <c:y val="7.308491006324136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5601183869775009E-3"/>
                  <c:y val="6.2344735456192034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6.2153163152053512E-4"/>
                  <c:y val="3.6419998886763057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8.4350721420643727E-4"/>
                  <c:y val="4.3118264376822424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'!$L$570:$M$570</c:f>
            </c:numRef>
          </c:val>
        </c:ser>
        <c:ser>
          <c:idx val="2"/>
          <c:order val="1"/>
          <c:tx>
            <c:strRef>
              <c:f>'Datos '!$I$571</c:f>
              <c:strCache>
                <c:ptCount val="1"/>
              </c:strCache>
            </c:strRef>
          </c:tx>
          <c:spPr>
            <a:solidFill>
              <a:schemeClr val="accent6">
                <a:lumMod val="75000"/>
              </a:schemeClr>
            </a:solidFill>
            <a:ln w="38100">
              <a:noFill/>
              <a:prstDash val="solid"/>
            </a:ln>
          </c:spPr>
          <c:dLbls>
            <c:dLbl>
              <c:idx val="0"/>
              <c:layout>
                <c:manualLayout>
                  <c:x val="2.4786690786848093E-3"/>
                  <c:y val="-1.257444776988528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1468155825693821E-3"/>
                  <c:y val="-3.4099326491203951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851544361616324E-4"/>
                  <c:y val="5.7494444515807195E-4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5526609395800978E-3"/>
                  <c:y val="3.2734325827542877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6.2898907891787185E-4"/>
                  <c:y val="2.6154234798952758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'!$L$571:$M$571</c:f>
            </c:numRef>
          </c:val>
        </c:ser>
        <c:ser>
          <c:idx val="0"/>
          <c:order val="2"/>
          <c:tx>
            <c:strRef>
              <c:f>'Datos '!$I$572</c:f>
              <c:strCache>
                <c:ptCount val="1"/>
                <c:pt idx="0">
                  <c:v>SERVICIOS PERSONALES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'!$L$572:$M$572</c:f>
            </c:numRef>
          </c:val>
        </c:ser>
        <c:ser>
          <c:idx val="3"/>
          <c:order val="3"/>
          <c:tx>
            <c:strRef>
              <c:f>'Datos '!$I$573</c:f>
              <c:strCache>
                <c:ptCount val="1"/>
                <c:pt idx="0">
                  <c:v>MATERIALES Y SUMINISTROS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'!$L$573:$M$573</c:f>
            </c:numRef>
          </c:val>
        </c:ser>
        <c:ser>
          <c:idx val="4"/>
          <c:order val="4"/>
          <c:tx>
            <c:strRef>
              <c:f>'Datos '!$I$574</c:f>
              <c:strCache>
                <c:ptCount val="1"/>
                <c:pt idx="0">
                  <c:v>SERVICIOS GENERALES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'!$L$574:$M$574</c:f>
            </c:numRef>
          </c:val>
        </c:ser>
        <c:ser>
          <c:idx val="5"/>
          <c:order val="5"/>
          <c:tx>
            <c:strRef>
              <c:f>'Datos '!$I$575</c:f>
              <c:strCache>
                <c:ptCount val="1"/>
                <c:pt idx="0">
                  <c:v>TRANSFERENCIAS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'!$L$575:$M$575</c:f>
            </c:numRef>
          </c:val>
        </c:ser>
        <c:ser>
          <c:idx val="6"/>
          <c:order val="6"/>
          <c:tx>
            <c:strRef>
              <c:f>'Datos '!$I$576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'!$L$576:$M$576</c:f>
            </c:numRef>
          </c:val>
        </c:ser>
        <c:ser>
          <c:idx val="7"/>
          <c:order val="7"/>
          <c:tx>
            <c:strRef>
              <c:f>'Datos '!$I$577</c:f>
              <c:strCache>
                <c:ptCount val="1"/>
                <c:pt idx="0">
                  <c:v>BIENES MUEBLES E INMUEBLES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'!$L$577:$M$577</c:f>
            </c:numRef>
          </c:val>
        </c:ser>
        <c:ser>
          <c:idx val="8"/>
          <c:order val="8"/>
          <c:tx>
            <c:strRef>
              <c:f>'Datos '!$I$578</c:f>
              <c:strCache>
                <c:ptCount val="1"/>
                <c:pt idx="0">
                  <c:v>OBRA PÚBLICA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'!$L$578:$M$578</c:f>
            </c:numRef>
          </c:val>
        </c:ser>
        <c:ser>
          <c:idx val="9"/>
          <c:order val="9"/>
          <c:tx>
            <c:strRef>
              <c:f>'Datos '!$I$579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'!$L$579:$M$579</c:f>
            </c:numRef>
          </c:val>
        </c:ser>
        <c:ser>
          <c:idx val="10"/>
          <c:order val="10"/>
          <c:tx>
            <c:strRef>
              <c:f>'Datos '!$I$580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'!$L$580:$M$580</c:f>
            </c:numRef>
          </c:val>
        </c:ser>
        <c:ser>
          <c:idx val="11"/>
          <c:order val="11"/>
          <c:tx>
            <c:strRef>
              <c:f>'Datos '!$I$581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'!$L$581:$M$581</c:f>
            </c:numRef>
          </c:val>
        </c:ser>
        <c:ser>
          <c:idx val="12"/>
          <c:order val="12"/>
          <c:tx>
            <c:strRef>
              <c:f>'Datos '!$I$582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'!$L$582:$M$582</c:f>
            </c:numRef>
          </c:val>
        </c:ser>
        <c:ser>
          <c:idx val="13"/>
          <c:order val="13"/>
          <c:tx>
            <c:strRef>
              <c:f>'Datos '!$I$583</c:f>
              <c:strCache>
                <c:ptCount val="1"/>
                <c:pt idx="0">
                  <c:v>PRESUPUESTO EJERCIDO FISCALES POR CAP. DE GASTO NOMINALES EN MILES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'!$L$583:$M$583</c:f>
            </c:numRef>
          </c:val>
        </c:ser>
        <c:ser>
          <c:idx val="14"/>
          <c:order val="14"/>
          <c:tx>
            <c:strRef>
              <c:f>'Datos '!$I$584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'!$L$584:$M$584</c:f>
            </c:numRef>
          </c:val>
        </c:ser>
        <c:ser>
          <c:idx val="15"/>
          <c:order val="15"/>
          <c:tx>
            <c:strRef>
              <c:f>'Datos '!$I$585</c:f>
              <c:strCache>
                <c:ptCount val="1"/>
                <c:pt idx="0">
                  <c:v>Servicios Personales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'!$L$585:$M$585</c:f>
            </c:numRef>
          </c:val>
        </c:ser>
        <c:ser>
          <c:idx val="16"/>
          <c:order val="16"/>
          <c:tx>
            <c:strRef>
              <c:f>'Datos '!$I$586</c:f>
              <c:strCache>
                <c:ptCount val="1"/>
                <c:pt idx="0">
                  <c:v>Materiales y Suministros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'!$L$586:$M$586</c:f>
            </c:numRef>
          </c:val>
        </c:ser>
        <c:ser>
          <c:idx val="17"/>
          <c:order val="17"/>
          <c:tx>
            <c:strRef>
              <c:f>'Datos '!$I$587</c:f>
              <c:strCache>
                <c:ptCount val="1"/>
                <c:pt idx="0">
                  <c:v>Servicios Generales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'!$L$587:$M$587</c:f>
            </c:numRef>
          </c:val>
        </c:ser>
        <c:ser>
          <c:idx val="18"/>
          <c:order val="18"/>
          <c:tx>
            <c:strRef>
              <c:f>'Datos '!$I$588</c:f>
              <c:strCache>
                <c:ptCount val="1"/>
                <c:pt idx="0">
                  <c:v>Transferencias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'!$L$588:$M$588</c:f>
            </c:numRef>
          </c:val>
        </c:ser>
        <c:ser>
          <c:idx val="19"/>
          <c:order val="19"/>
          <c:tx>
            <c:strRef>
              <c:f>'Datos '!$I$589</c:f>
              <c:strCache>
                <c:ptCount val="1"/>
                <c:pt idx="0">
                  <c:v>Bienes Muebles e Inmuebles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'!$L$589:$M$589</c:f>
            </c:numRef>
          </c:val>
        </c:ser>
        <c:ser>
          <c:idx val="20"/>
          <c:order val="20"/>
          <c:tx>
            <c:strRef>
              <c:f>'Datos '!$I$590</c:f>
              <c:strCache>
                <c:ptCount val="1"/>
                <c:pt idx="0">
                  <c:v>Obra Pública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'!$L$590:$M$590</c:f>
            </c:numRef>
          </c:val>
        </c:ser>
        <c:ser>
          <c:idx val="21"/>
          <c:order val="21"/>
          <c:tx>
            <c:strRef>
              <c:f>'Datos '!$I$591</c:f>
              <c:strCache>
                <c:ptCount val="1"/>
                <c:pt idx="0">
                  <c:v>Totales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'!$L$591:$M$591</c:f>
            </c:numRef>
          </c:val>
        </c:ser>
        <c:ser>
          <c:idx val="22"/>
          <c:order val="22"/>
          <c:tx>
            <c:strRef>
              <c:f>'Datos '!$I$592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'!$L$592:$M$592</c:f>
            </c:numRef>
          </c:val>
        </c:ser>
        <c:ser>
          <c:idx val="23"/>
          <c:order val="23"/>
          <c:tx>
            <c:strRef>
              <c:f>'Datos '!$I$593</c:f>
              <c:strCache>
                <c:ptCount val="1"/>
                <c:pt idx="0">
                  <c:v>PRESUPUESTO EJERCIDO FISCALES POR CAP. DE GASTO NOMINALES EN MILLONES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'!$L$593:$M$593</c:f>
            </c:numRef>
          </c:val>
        </c:ser>
        <c:ser>
          <c:idx val="24"/>
          <c:order val="24"/>
          <c:tx>
            <c:strRef>
              <c:f>'Datos '!$I$594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'!$L$594:$M$594</c:f>
            </c:numRef>
          </c:val>
        </c:ser>
        <c:ser>
          <c:idx val="25"/>
          <c:order val="25"/>
          <c:tx>
            <c:strRef>
              <c:f>'Datos '!$I$595</c:f>
              <c:strCache>
                <c:ptCount val="1"/>
                <c:pt idx="0">
                  <c:v>Servicios Personales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'!$L$595:$M$595</c:f>
            </c:numRef>
          </c:val>
        </c:ser>
        <c:ser>
          <c:idx val="26"/>
          <c:order val="26"/>
          <c:tx>
            <c:strRef>
              <c:f>'Datos '!$I$596</c:f>
              <c:strCache>
                <c:ptCount val="1"/>
                <c:pt idx="0">
                  <c:v>Materiales y Suministros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'!$L$596:$M$596</c:f>
            </c:numRef>
          </c:val>
        </c:ser>
        <c:ser>
          <c:idx val="27"/>
          <c:order val="27"/>
          <c:tx>
            <c:strRef>
              <c:f>'Datos '!$I$597</c:f>
              <c:strCache>
                <c:ptCount val="1"/>
                <c:pt idx="0">
                  <c:v>Servicios Generales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'!$L$597:$M$597</c:f>
            </c:numRef>
          </c:val>
        </c:ser>
        <c:ser>
          <c:idx val="28"/>
          <c:order val="28"/>
          <c:tx>
            <c:strRef>
              <c:f>'Datos '!$I$598</c:f>
              <c:strCache>
                <c:ptCount val="1"/>
                <c:pt idx="0">
                  <c:v>Transferencias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'!$L$598:$M$598</c:f>
            </c:numRef>
          </c:val>
        </c:ser>
        <c:ser>
          <c:idx val="29"/>
          <c:order val="29"/>
          <c:tx>
            <c:strRef>
              <c:f>'Datos '!$I$599</c:f>
              <c:strCache>
                <c:ptCount val="1"/>
                <c:pt idx="0">
                  <c:v>Bienes Muebles e Inmuebles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'!$L$599:$M$599</c:f>
            </c:numRef>
          </c:val>
        </c:ser>
        <c:ser>
          <c:idx val="30"/>
          <c:order val="30"/>
          <c:tx>
            <c:strRef>
              <c:f>'Datos '!$I$600</c:f>
              <c:strCache>
                <c:ptCount val="1"/>
                <c:pt idx="0">
                  <c:v>Obra Pública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'!$L$600:$M$600</c:f>
            </c:numRef>
          </c:val>
        </c:ser>
        <c:ser>
          <c:idx val="31"/>
          <c:order val="31"/>
          <c:tx>
            <c:strRef>
              <c:f>'Datos '!$I$601</c:f>
              <c:strCache>
                <c:ptCount val="1"/>
                <c:pt idx="0">
                  <c:v>Totales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'!$L$601:$M$601</c:f>
            </c:numRef>
          </c:val>
        </c:ser>
        <c:ser>
          <c:idx val="32"/>
          <c:order val="32"/>
          <c:tx>
            <c:strRef>
              <c:f>'Datos '!$I$602</c:f>
              <c:strCache>
                <c:ptCount val="1"/>
                <c:pt idx="0">
                  <c:v>Total CIMAV</c:v>
                </c:pt>
              </c:strCache>
            </c:strRef>
          </c:tx>
          <c:spPr>
            <a:solidFill>
              <a:srgbClr val="CA1300"/>
            </a:solidFill>
          </c:spPr>
          <c:cat>
            <c:multiLvlStrRef>
              <c:f>'Datos '!$L$569:$M$569</c:f>
            </c:multiLvlStrRef>
          </c:cat>
          <c:val>
            <c:numRef>
              <c:f>'Datos '!$L$602:$M$602</c:f>
            </c:numRef>
          </c:val>
        </c:ser>
        <c:ser>
          <c:idx val="33"/>
          <c:order val="33"/>
          <c:tx>
            <c:strRef>
              <c:f>'Datos '!$I$603</c:f>
              <c:strCache>
                <c:ptCount val="1"/>
                <c:pt idx="0">
                  <c:v>Unidad Monterrey </c:v>
                </c:pt>
              </c:strCache>
            </c:strRef>
          </c:tx>
          <c:spPr>
            <a:solidFill>
              <a:srgbClr val="FFC000"/>
            </a:solidFill>
          </c:spPr>
          <c:dLbls>
            <c:dLbl>
              <c:idx val="2"/>
              <c:layout>
                <c:manualLayout>
                  <c:x val="8.8790233074361822E-3"/>
                  <c:y val="2.1750951604132679E-3"/>
                </c:manualLayout>
              </c:layout>
              <c:showVal val="1"/>
            </c:dLbl>
            <c:showVal val="1"/>
          </c:dLbls>
          <c:cat>
            <c:multiLvlStrRef>
              <c:f>'Datos '!$L$569:$M$569</c:f>
            </c:multiLvlStrRef>
          </c:cat>
          <c:val>
            <c:numRef>
              <c:f>'Datos '!$L$603:$M$603</c:f>
            </c:numRef>
          </c:val>
        </c:ser>
        <c:dLbls>
          <c:showVal val="1"/>
        </c:dLbls>
        <c:axId val="128902272"/>
        <c:axId val="128903808"/>
      </c:barChart>
      <c:catAx>
        <c:axId val="12890227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28903808"/>
        <c:crosses val="autoZero"/>
        <c:lblAlgn val="ctr"/>
        <c:lblOffset val="100"/>
        <c:tickLblSkip val="1"/>
        <c:tickMarkSkip val="1"/>
      </c:catAx>
      <c:valAx>
        <c:axId val="12890380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Miles de $ </a:t>
                </a:r>
              </a:p>
            </c:rich>
          </c:tx>
          <c:layout>
            <c:manualLayout>
              <c:xMode val="edge"/>
              <c:yMode val="edge"/>
              <c:x val="0"/>
              <c:y val="0.344208809135399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28902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499075101738987"/>
          <c:y val="1.468189233278956E-2"/>
          <c:w val="0.76524969339989035"/>
          <c:h val="0.17703630439343732"/>
        </c:manualLayout>
      </c:layout>
      <c:spPr>
        <a:noFill/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/>
    <a:lstStyle/>
    <a:p>
      <a:pPr>
        <a:defRPr sz="2400" b="1" i="0" u="none" strike="noStrike" baseline="0">
          <a:solidFill>
            <a:sysClr val="windowText" lastClr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0.10543840177580466"/>
          <c:y val="0.22294725394236406"/>
          <c:w val="0.89456159822419534"/>
          <c:h val="0.60685154975530176"/>
        </c:manualLayout>
      </c:layout>
      <c:barChart>
        <c:barDir val="col"/>
        <c:grouping val="clustered"/>
        <c:ser>
          <c:idx val="0"/>
          <c:order val="0"/>
          <c:tx>
            <c:strRef>
              <c:f>'Datos '!$I$22</c:f>
              <c:strCache>
                <c:ptCount val="1"/>
                <c:pt idx="0">
                  <c:v>Investigador Titular 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3.8464115403998538E-4"/>
                  <c:y val="1.017636253869569E-2"/>
                </c:manualLayout>
              </c:layout>
              <c:showVal val="1"/>
            </c:dLbl>
            <c:dLbl>
              <c:idx val="1"/>
              <c:layout>
                <c:manualLayout>
                  <c:x val="3.3444321124676338E-3"/>
                  <c:y val="-4.303605605579899E-3"/>
                </c:manualLayout>
              </c:layout>
              <c:showVal val="1"/>
            </c:dLbl>
            <c:dLbl>
              <c:idx val="2"/>
              <c:layout>
                <c:manualLayout>
                  <c:x val="2.6045135035146195E-3"/>
                  <c:y val="-1.1543589677717753E-2"/>
                </c:manualLayout>
              </c:layout>
              <c:showVal val="1"/>
            </c:dLbl>
            <c:dLbl>
              <c:idx val="3"/>
              <c:layout>
                <c:manualLayout>
                  <c:x val="-1.8349981502035441E-3"/>
                  <c:y val="1.3516418114946141E-3"/>
                </c:manualLayout>
              </c:layout>
              <c:showVal val="1"/>
            </c:dLbl>
            <c:dLbl>
              <c:idx val="4"/>
              <c:layout>
                <c:manualLayout>
                  <c:x val="3.8475767665563501E-4"/>
                  <c:y val="-4.8007946804365913E-3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'!$T$21:$X$21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'!$T$22:$X$22</c:f>
              <c:numCache>
                <c:formatCode>#,##0</c:formatCode>
                <c:ptCount val="5"/>
                <c:pt idx="0">
                  <c:v>37</c:v>
                </c:pt>
                <c:pt idx="1">
                  <c:v>39</c:v>
                </c:pt>
                <c:pt idx="2">
                  <c:v>39</c:v>
                </c:pt>
                <c:pt idx="3">
                  <c:v>40</c:v>
                </c:pt>
                <c:pt idx="4">
                  <c:v>43</c:v>
                </c:pt>
              </c:numCache>
            </c:numRef>
          </c:val>
        </c:ser>
        <c:ser>
          <c:idx val="1"/>
          <c:order val="1"/>
          <c:tx>
            <c:strRef>
              <c:f>'Datos '!$I$23</c:f>
              <c:strCache>
                <c:ptCount val="1"/>
                <c:pt idx="0">
                  <c:v>Investigador Asociado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>
              <a:outerShdw blurRad="63500" sx="102000" sy="102000" algn="c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1.0210876803551608E-3"/>
                  <c:y val="3.3869828261679437E-3"/>
                </c:manualLayout>
              </c:layout>
              <c:showVal val="1"/>
            </c:dLbl>
            <c:dLbl>
              <c:idx val="1"/>
              <c:layout>
                <c:manualLayout>
                  <c:x val="-2.138306518566432E-3"/>
                  <c:y val="7.892512620261782E-3"/>
                </c:manualLayout>
              </c:layout>
              <c:showVal val="1"/>
            </c:dLbl>
            <c:dLbl>
              <c:idx val="2"/>
              <c:layout>
                <c:manualLayout>
                  <c:x val="-2.138306518566432E-3"/>
                  <c:y val="8.0634374210564724E-3"/>
                </c:manualLayout>
              </c:layout>
              <c:showVal val="1"/>
            </c:dLbl>
            <c:dLbl>
              <c:idx val="3"/>
              <c:layout>
                <c:manualLayout>
                  <c:x val="2.3012051351516639E-3"/>
                  <c:y val="4.4589450788471985E-3"/>
                </c:manualLayout>
              </c:layout>
              <c:showVal val="1"/>
            </c:dLbl>
            <c:dLbl>
              <c:idx val="4"/>
              <c:layout>
                <c:manualLayout>
                  <c:x val="8.1449308292617264E-5"/>
                  <c:y val="4.2880202780525784E-3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'!$T$21:$X$21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'!$T$23:$X$23</c:f>
              <c:numCache>
                <c:formatCode>#,##0</c:formatCode>
                <c:ptCount val="5"/>
                <c:pt idx="0" formatCode="General">
                  <c:v>7</c:v>
                </c:pt>
                <c:pt idx="1">
                  <c:v>9</c:v>
                </c:pt>
                <c:pt idx="2">
                  <c:v>10</c:v>
                </c:pt>
                <c:pt idx="3">
                  <c:v>12</c:v>
                </c:pt>
                <c:pt idx="4">
                  <c:v>9</c:v>
                </c:pt>
              </c:numCache>
            </c:numRef>
          </c:val>
        </c:ser>
        <c:ser>
          <c:idx val="3"/>
          <c:order val="2"/>
          <c:tx>
            <c:strRef>
              <c:f>'Datos '!$I$25</c:f>
              <c:strCache>
                <c:ptCount val="1"/>
                <c:pt idx="0">
                  <c:v>Técnico Académico Titular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25400">
              <a:noFill/>
            </a:ln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 prstMaterial="dkEdge">
              <a:bevelT/>
            </a:sp3d>
          </c:spPr>
          <c:dLbls>
            <c:dLbl>
              <c:idx val="0"/>
              <c:layout>
                <c:manualLayout>
                  <c:x val="6.5259656083499805E-3"/>
                  <c:y val="3.7754171430039452E-3"/>
                </c:manualLayout>
              </c:layout>
              <c:showVal val="1"/>
            </c:dLbl>
            <c:dLbl>
              <c:idx val="1"/>
              <c:layout>
                <c:manualLayout>
                  <c:x val="1.3466518682944881E-3"/>
                  <c:y val="1.1046400602861049E-2"/>
                </c:manualLayout>
              </c:layout>
              <c:showVal val="1"/>
            </c:dLbl>
            <c:dLbl>
              <c:idx val="2"/>
              <c:layout>
                <c:manualLayout>
                  <c:x val="6.0673325934147389E-4"/>
                  <c:y val="1.5256665510612161E-2"/>
                </c:manualLayout>
              </c:layout>
              <c:showVal val="1"/>
            </c:dLbl>
            <c:dLbl>
              <c:idx val="3"/>
              <c:layout>
                <c:manualLayout>
                  <c:x val="-1.6130225675175763E-3"/>
                  <c:y val="1.3827439596151644E-2"/>
                </c:manualLayout>
              </c:layout>
              <c:showVal val="1"/>
            </c:dLbl>
            <c:dLbl>
              <c:idx val="4"/>
              <c:layout>
                <c:manualLayout>
                  <c:x val="2.086337432016451E-3"/>
                  <c:y val="1.0580210915723622E-2"/>
                </c:manualLayout>
              </c:layout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  <a:scene3d>
                <a:camera prst="orthographicFront"/>
                <a:lightRig rig="threePt" dir="t"/>
              </a:scene3d>
              <a:sp3d>
                <a:bevelB h="12700"/>
              </a:sp3d>
            </c:spPr>
            <c:txPr>
              <a:bodyPr rot="0"/>
              <a:lstStyle/>
              <a:p>
                <a:pPr>
                  <a:defRPr sz="20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'!$T$21:$X$21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'!$T$25:$X$25</c:f>
              <c:numCache>
                <c:formatCode>#,##0</c:formatCode>
                <c:ptCount val="5"/>
                <c:pt idx="0">
                  <c:v>66</c:v>
                </c:pt>
                <c:pt idx="1">
                  <c:v>69</c:v>
                </c:pt>
                <c:pt idx="2">
                  <c:v>71</c:v>
                </c:pt>
                <c:pt idx="3">
                  <c:v>69</c:v>
                </c:pt>
                <c:pt idx="4">
                  <c:v>72</c:v>
                </c:pt>
              </c:numCache>
            </c:numRef>
          </c:val>
        </c:ser>
        <c:ser>
          <c:idx val="4"/>
          <c:order val="3"/>
          <c:tx>
            <c:strRef>
              <c:f>'Datos '!$I$26</c:f>
              <c:strCache>
                <c:ptCount val="1"/>
                <c:pt idx="0">
                  <c:v>Técnico Académico Asociado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25400">
              <a:noFill/>
            </a:ln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8.8198298187200062E-3"/>
                  <c:y val="-6.3857026028352514E-3"/>
                </c:manualLayout>
              </c:layout>
              <c:showVal val="1"/>
            </c:dLbl>
            <c:dLbl>
              <c:idx val="1"/>
              <c:layout>
                <c:manualLayout>
                  <c:x val="9.5597484276729768E-3"/>
                  <c:y val="3.2626427406199108E-4"/>
                </c:manualLayout>
              </c:layout>
              <c:showVal val="1"/>
            </c:dLbl>
            <c:dLbl>
              <c:idx val="2"/>
              <c:layout>
                <c:manualLayout>
                  <c:x val="8.0799112097669542E-3"/>
                  <c:y val="-1.4915672245700143E-3"/>
                </c:manualLayout>
              </c:layout>
              <c:showVal val="1"/>
            </c:dLbl>
            <c:dLbl>
              <c:idx val="3"/>
              <c:layout>
                <c:manualLayout>
                  <c:x val="8.8198298187199767E-3"/>
                  <c:y val="-1.4915672245700143E-3"/>
                </c:manualLayout>
              </c:layout>
              <c:showVal val="1"/>
            </c:dLbl>
            <c:dLbl>
              <c:idx val="4"/>
              <c:layout>
                <c:manualLayout>
                  <c:x val="6.8072512023688401E-4"/>
                  <c:y val="1.5845653877278401E-3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'!$T$21:$X$21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'!$T$26:$X$26</c:f>
              <c:numCache>
                <c:formatCode>#,##0</c:formatCode>
                <c:ptCount val="5"/>
                <c:pt idx="0">
                  <c:v>14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14</c:v>
                </c:pt>
              </c:numCache>
            </c:numRef>
          </c:val>
        </c:ser>
        <c:ser>
          <c:idx val="2"/>
          <c:order val="4"/>
          <c:tx>
            <c:strRef>
              <c:f>'Datos '!$I$24</c:f>
              <c:strCache>
                <c:ptCount val="1"/>
                <c:pt idx="0">
                  <c:v>Asistente de Investigación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3"/>
              <c:layout>
                <c:manualLayout>
                  <c:x val="4.4395116537180911E-3"/>
                  <c:y val="0"/>
                </c:manualLayout>
              </c:layout>
              <c:showVal val="1"/>
            </c:dLbl>
            <c:dLbl>
              <c:idx val="4"/>
              <c:layout>
                <c:manualLayout>
                  <c:x val="4.4395116537179905E-3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/>
                </a:pPr>
                <a:endParaRPr lang="es-MX"/>
              </a:p>
            </c:txPr>
            <c:showVal val="1"/>
          </c:dLbls>
          <c:cat>
            <c:numRef>
              <c:f>'Datos '!$T$21:$X$21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'!$T$24:$X$24</c:f>
              <c:numCache>
                <c:formatCode>#,##0</c:formatCode>
                <c:ptCount val="5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</c:ser>
        <c:ser>
          <c:idx val="5"/>
          <c:order val="5"/>
          <c:tx>
            <c:strRef>
              <c:f>'Datos '!$I$27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777C84">
                    <a:lumMod val="40000"/>
                    <a:lumOff val="60000"/>
                  </a:srgbClr>
                </a:gs>
                <a:gs pos="36000">
                  <a:srgbClr val="C00000"/>
                </a:gs>
                <a:gs pos="100000">
                  <a:srgbClr val="777C84">
                    <a:lumMod val="75000"/>
                  </a:srgbClr>
                </a:gs>
              </a:gsLst>
              <a:lin ang="5400000" scaled="0"/>
            </a:gradFill>
            <a:ln w="25400">
              <a:noFill/>
            </a:ln>
            <a:effectLst>
              <a:innerShdw blurRad="114300">
                <a:prstClr val="black"/>
              </a:inn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0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'!$T$21:$X$21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'!$T$27:$X$27</c:f>
              <c:numCache>
                <c:formatCode>#,##0</c:formatCode>
                <c:ptCount val="5"/>
                <c:pt idx="0">
                  <c:v>124</c:v>
                </c:pt>
                <c:pt idx="1">
                  <c:v>130</c:v>
                </c:pt>
                <c:pt idx="2">
                  <c:v>134</c:v>
                </c:pt>
                <c:pt idx="3">
                  <c:v>137</c:v>
                </c:pt>
                <c:pt idx="4">
                  <c:v>139</c:v>
                </c:pt>
              </c:numCache>
            </c:numRef>
          </c:val>
        </c:ser>
        <c:dLbls>
          <c:showVal val="1"/>
        </c:dLbls>
        <c:axId val="47557632"/>
        <c:axId val="47579904"/>
      </c:barChart>
      <c:catAx>
        <c:axId val="475576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1" u="none" strike="noStrike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MX"/>
          </a:p>
        </c:txPr>
        <c:crossAx val="47579904"/>
        <c:crosses val="autoZero"/>
        <c:auto val="1"/>
        <c:lblAlgn val="ctr"/>
        <c:lblOffset val="100"/>
        <c:tickLblSkip val="1"/>
        <c:tickMarkSkip val="1"/>
      </c:catAx>
      <c:valAx>
        <c:axId val="47579904"/>
        <c:scaling>
          <c:orientation val="minMax"/>
          <c:max val="140"/>
        </c:scaling>
        <c:axPos val="l"/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MX" sz="1800" b="0" i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</a:rPr>
                  <a:t>Número de Personas</a:t>
                </a:r>
              </a:p>
            </c:rich>
          </c:tx>
          <c:layout>
            <c:manualLayout>
              <c:xMode val="edge"/>
              <c:yMode val="edge"/>
              <c:x val="0"/>
              <c:y val="0.30995106035889614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1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MX"/>
          </a:p>
        </c:txPr>
        <c:crossAx val="475576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8.3240843507214266E-2"/>
          <c:y val="2.338227297444264E-2"/>
          <c:w val="0.89594693560086369"/>
          <c:h val="0.15262488600017984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0" i="1" u="none" strike="noStrike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gradFill>
      <a:gsLst>
        <a:gs pos="0">
          <a:srgbClr val="777C84">
            <a:lumMod val="40000"/>
            <a:lumOff val="60000"/>
          </a:srgbClr>
        </a:gs>
        <a:gs pos="36000">
          <a:srgbClr val="777C84">
            <a:lumMod val="20000"/>
            <a:lumOff val="80000"/>
          </a:srgbClr>
        </a:gs>
        <a:gs pos="100000">
          <a:schemeClr val="accent5">
            <a:lumMod val="20000"/>
            <a:lumOff val="80000"/>
          </a:schemeClr>
        </a:gs>
      </a:gsLst>
      <a:lin ang="5400000" scaled="0"/>
    </a:gradFill>
    <a:ln w="9525"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view3D>
      <c:rotX val="0"/>
      <c:hPercent val="75"/>
      <c:rotY val="360"/>
      <c:depthPercent val="100"/>
      <c:rAngAx val="1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/>
      <c:bar3DChart>
        <c:barDir val="col"/>
        <c:grouping val="percentStacked"/>
        <c:ser>
          <c:idx val="0"/>
          <c:order val="0"/>
          <c:tx>
            <c:strRef>
              <c:f>'Datos '!$I$37</c:f>
              <c:strCache>
                <c:ptCount val="1"/>
                <c:pt idx="0">
                  <c:v>Doctorado</c:v>
                </c:pt>
              </c:strCache>
            </c:strRef>
          </c:tx>
          <c:spPr>
            <a:gradFill flip="none" rotWithShape="1">
              <a:gsLst>
                <a:gs pos="0">
                  <a:srgbClr val="777C84">
                    <a:lumMod val="40000"/>
                    <a:lumOff val="60000"/>
                  </a:srgbClr>
                </a:gs>
                <a:gs pos="45000">
                  <a:srgbClr val="777C84">
                    <a:lumMod val="75000"/>
                  </a:srgbClr>
                </a:gs>
                <a:gs pos="100000">
                  <a:srgbClr val="AEBAD5">
                    <a:lumMod val="20000"/>
                    <a:lumOff val="80000"/>
                  </a:srgbClr>
                </a:gs>
              </a:gsLst>
              <a:path path="shape">
                <a:fillToRect l="50000" t="50000" r="50000" b="50000"/>
              </a:path>
              <a:tileRect/>
            </a:gradFill>
            <a:ln w="25400">
              <a:noFill/>
            </a:ln>
          </c:spPr>
          <c:cat>
            <c:numRef>
              <c:f>'Datos '!$T$36:$X$36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'!$T$37:$X$37</c:f>
              <c:numCache>
                <c:formatCode>#,##0</c:formatCode>
                <c:ptCount val="5"/>
                <c:pt idx="0">
                  <c:v>54</c:v>
                </c:pt>
                <c:pt idx="1">
                  <c:v>59</c:v>
                </c:pt>
                <c:pt idx="2">
                  <c:v>57</c:v>
                </c:pt>
                <c:pt idx="3">
                  <c:v>61</c:v>
                </c:pt>
                <c:pt idx="4">
                  <c:v>61</c:v>
                </c:pt>
              </c:numCache>
            </c:numRef>
          </c:val>
        </c:ser>
        <c:ser>
          <c:idx val="1"/>
          <c:order val="1"/>
          <c:tx>
            <c:strRef>
              <c:f>'Datos '!$I$38</c:f>
              <c:strCache>
                <c:ptCount val="1"/>
                <c:pt idx="0">
                  <c:v>Maestría</c:v>
                </c:pt>
              </c:strCache>
            </c:strRef>
          </c:tx>
          <c:spPr>
            <a:gradFill>
              <a:gsLst>
                <a:gs pos="0">
                  <a:srgbClr val="777C84">
                    <a:lumMod val="40000"/>
                    <a:lumOff val="60000"/>
                  </a:srgbClr>
                </a:gs>
                <a:gs pos="45000">
                  <a:schemeClr val="accent1">
                    <a:lumMod val="75000"/>
                  </a:schemeClr>
                </a:gs>
                <a:gs pos="100000">
                  <a:srgbClr val="AEBAD5">
                    <a:lumMod val="20000"/>
                    <a:lumOff val="80000"/>
                  </a:srgbClr>
                </a:gs>
              </a:gsLst>
              <a:path path="shape">
                <a:fillToRect l="50000" t="50000" r="50000" b="50000"/>
              </a:path>
            </a:gradFill>
            <a:ln w="25400">
              <a:noFill/>
            </a:ln>
          </c:spPr>
          <c:cat>
            <c:numRef>
              <c:f>'Datos '!$T$36:$X$36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'!$T$38:$X$38</c:f>
              <c:numCache>
                <c:formatCode>#,##0</c:formatCode>
                <c:ptCount val="5"/>
                <c:pt idx="0" formatCode="General">
                  <c:v>23</c:v>
                </c:pt>
                <c:pt idx="1">
                  <c:v>24</c:v>
                </c:pt>
                <c:pt idx="2">
                  <c:v>29</c:v>
                </c:pt>
                <c:pt idx="3">
                  <c:v>30</c:v>
                </c:pt>
                <c:pt idx="4">
                  <c:v>30</c:v>
                </c:pt>
              </c:numCache>
            </c:numRef>
          </c:val>
        </c:ser>
        <c:ser>
          <c:idx val="2"/>
          <c:order val="2"/>
          <c:tx>
            <c:strRef>
              <c:f>'Datos '!$I$39</c:f>
              <c:strCache>
                <c:ptCount val="1"/>
                <c:pt idx="0">
                  <c:v>Licenciatura</c:v>
                </c:pt>
              </c:strCache>
            </c:strRef>
          </c:tx>
          <c:spPr>
            <a:gradFill>
              <a:gsLst>
                <a:gs pos="0">
                  <a:srgbClr val="777C84">
                    <a:lumMod val="40000"/>
                    <a:lumOff val="60000"/>
                  </a:srgbClr>
                </a:gs>
                <a:gs pos="45000">
                  <a:schemeClr val="accent3"/>
                </a:gs>
                <a:gs pos="100000">
                  <a:srgbClr val="AEBAD5">
                    <a:lumMod val="20000"/>
                    <a:lumOff val="80000"/>
                  </a:srgbClr>
                </a:gs>
              </a:gsLst>
              <a:path path="shape">
                <a:fillToRect l="50000" t="50000" r="50000" b="50000"/>
              </a:path>
            </a:gradFill>
            <a:ln w="25400">
              <a:noFill/>
            </a:ln>
          </c:spPr>
          <c:cat>
            <c:numRef>
              <c:f>'Datos '!$T$36:$X$36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'!$T$39:$X$39</c:f>
              <c:numCache>
                <c:formatCode>#,##0</c:formatCode>
                <c:ptCount val="5"/>
                <c:pt idx="0" formatCode="General">
                  <c:v>39</c:v>
                </c:pt>
                <c:pt idx="1">
                  <c:v>41</c:v>
                </c:pt>
                <c:pt idx="2">
                  <c:v>41</c:v>
                </c:pt>
                <c:pt idx="3">
                  <c:v>38</c:v>
                </c:pt>
                <c:pt idx="4">
                  <c:v>40</c:v>
                </c:pt>
              </c:numCache>
            </c:numRef>
          </c:val>
        </c:ser>
        <c:ser>
          <c:idx val="3"/>
          <c:order val="3"/>
          <c:tx>
            <c:strRef>
              <c:f>'Datos '!$I$40</c:f>
              <c:strCache>
                <c:ptCount val="1"/>
                <c:pt idx="0">
                  <c:v>Carrera Técnica </c:v>
                </c:pt>
              </c:strCache>
            </c:strRef>
          </c:tx>
          <c:spPr>
            <a:gradFill>
              <a:gsLst>
                <a:gs pos="0">
                  <a:srgbClr val="777C84">
                    <a:lumMod val="40000"/>
                    <a:lumOff val="60000"/>
                  </a:srgbClr>
                </a:gs>
                <a:gs pos="45000">
                  <a:srgbClr val="00FFFF"/>
                </a:gs>
                <a:gs pos="100000">
                  <a:srgbClr val="AEBAD5">
                    <a:lumMod val="20000"/>
                    <a:lumOff val="80000"/>
                  </a:srgbClr>
                </a:gs>
              </a:gsLst>
              <a:path path="shape">
                <a:fillToRect l="50000" t="50000" r="50000" b="50000"/>
              </a:path>
            </a:gradFill>
            <a:ln w="25400">
              <a:noFill/>
            </a:ln>
          </c:spPr>
          <c:cat>
            <c:numRef>
              <c:f>'Datos '!$T$36:$X$36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'!$T$40:$X$40</c:f>
              <c:numCache>
                <c:formatCode>#,##0</c:formatCode>
                <c:ptCount val="5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8</c:v>
                </c:pt>
              </c:numCache>
            </c:numRef>
          </c:val>
        </c:ser>
        <c:ser>
          <c:idx val="4"/>
          <c:order val="4"/>
          <c:tx>
            <c:strRef>
              <c:f>'Datos '!$I$41</c:f>
              <c:strCache>
                <c:ptCount val="1"/>
                <c:pt idx="0">
                  <c:v>Total  </c:v>
                </c:pt>
              </c:strCache>
            </c:strRef>
          </c:tx>
          <c:spPr>
            <a:gradFill>
              <a:gsLst>
                <a:gs pos="0">
                  <a:srgbClr val="777C84">
                    <a:lumMod val="40000"/>
                    <a:lumOff val="60000"/>
                  </a:srgbClr>
                </a:gs>
                <a:gs pos="45000">
                  <a:srgbClr val="AEBAD5">
                    <a:lumMod val="75000"/>
                  </a:srgbClr>
                </a:gs>
                <a:gs pos="100000">
                  <a:srgbClr val="AEBAD5">
                    <a:lumMod val="20000"/>
                    <a:lumOff val="80000"/>
                  </a:srgbClr>
                </a:gs>
              </a:gsLst>
              <a:path path="shape">
                <a:fillToRect l="50000" t="50000" r="50000" b="50000"/>
              </a:path>
            </a:gradFill>
            <a:ln w="25400">
              <a:noFill/>
            </a:ln>
          </c:spPr>
          <c:invertIfNegative val="1"/>
          <c:dLbls>
            <c:txPr>
              <a:bodyPr/>
              <a:lstStyle/>
              <a:p>
                <a:pPr>
                  <a:defRPr b="0"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'!$T$36:$X$36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'!$T$41:$X$41</c:f>
              <c:numCache>
                <c:formatCode>#,##0</c:formatCode>
                <c:ptCount val="5"/>
                <c:pt idx="0">
                  <c:v>124</c:v>
                </c:pt>
                <c:pt idx="1">
                  <c:v>130</c:v>
                </c:pt>
                <c:pt idx="2">
                  <c:v>134</c:v>
                </c:pt>
                <c:pt idx="3">
                  <c:v>136</c:v>
                </c:pt>
                <c:pt idx="4">
                  <c:v>139</c:v>
                </c:pt>
              </c:numCache>
            </c:numRef>
          </c:val>
        </c:ser>
        <c:dLbls>
          <c:showVal val="1"/>
        </c:dLbls>
        <c:gapWidth val="95"/>
        <c:gapDepth val="95"/>
        <c:shape val="cylinder"/>
        <c:axId val="47618304"/>
        <c:axId val="47632384"/>
        <c:axId val="0"/>
      </c:bar3DChart>
      <c:catAx>
        <c:axId val="47618304"/>
        <c:scaling>
          <c:orientation val="minMax"/>
        </c:scaling>
        <c:axPos val="b"/>
        <c:numFmt formatCode="General" sourceLinked="1"/>
        <c:maj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47632384"/>
        <c:crosses val="autoZero"/>
        <c:auto val="1"/>
        <c:lblAlgn val="ctr"/>
        <c:lblOffset val="100"/>
        <c:tickLblSkip val="1"/>
        <c:tickMarkSkip val="1"/>
      </c:catAx>
      <c:valAx>
        <c:axId val="47632384"/>
        <c:scaling>
          <c:orientation val="minMax"/>
          <c:max val="1"/>
          <c:min val="0"/>
        </c:scaling>
        <c:delete val="1"/>
        <c:axPos val="l"/>
        <c:numFmt formatCode="0%" sourceLinked="1"/>
        <c:majorTickMark val="none"/>
        <c:tickLblPos val="none"/>
        <c:crossAx val="47618304"/>
        <c:crosses val="autoZero"/>
        <c:crossBetween val="between"/>
      </c:valAx>
    </c:plotArea>
    <c:legend>
      <c:legendPos val="t"/>
      <c:legendEntry>
        <c:idx val="2"/>
        <c:txPr>
          <a:bodyPr/>
          <a:lstStyle/>
          <a:p>
            <a:pPr>
              <a:defRPr sz="2000" b="0"/>
            </a:pPr>
            <a:endParaRPr lang="es-MX"/>
          </a:p>
        </c:txPr>
      </c:legendEntry>
      <c:spPr>
        <a:noFill/>
        <a:ln w="25400">
          <a:noFill/>
        </a:ln>
      </c:spPr>
      <c:txPr>
        <a:bodyPr/>
        <a:lstStyle/>
        <a:p>
          <a:pPr>
            <a:defRPr sz="2000" b="0"/>
          </a:pPr>
          <a:endParaRPr lang="es-MX"/>
        </a:p>
      </c:txPr>
    </c:legend>
    <c:plotVisOnly val="1"/>
    <c:dispBlanksAs val="gap"/>
  </c:chart>
  <c:spPr>
    <a:gradFill>
      <a:gsLst>
        <a:gs pos="0">
          <a:schemeClr val="accent2">
            <a:lumMod val="60000"/>
            <a:lumOff val="40000"/>
          </a:schemeClr>
        </a:gs>
        <a:gs pos="45000">
          <a:srgbClr val="7598D9">
            <a:lumMod val="20000"/>
            <a:lumOff val="80000"/>
          </a:srgbClr>
        </a:gs>
        <a:gs pos="100000">
          <a:srgbClr val="AEBAD5">
            <a:lumMod val="20000"/>
            <a:lumOff val="80000"/>
          </a:srgbClr>
        </a:gs>
      </a:gsLst>
      <a:path path="shape">
        <a:fillToRect l="50000" t="50000" r="50000" b="50000"/>
      </a:path>
    </a:gra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view3D>
      <c:rotX val="50"/>
      <c:rotY val="30"/>
      <c:perspective val="130"/>
    </c:view3D>
    <c:plotArea>
      <c:layout>
        <c:manualLayout>
          <c:layoutTarget val="inner"/>
          <c:xMode val="edge"/>
          <c:yMode val="edge"/>
          <c:x val="4.9309160051627832E-2"/>
          <c:y val="0.21103688914478291"/>
          <c:w val="0.84275572457064563"/>
          <c:h val="0.78794812864843877"/>
        </c:manualLayout>
      </c:layout>
      <c:pie3DChart>
        <c:varyColors val="1"/>
        <c:ser>
          <c:idx val="0"/>
          <c:order val="0"/>
          <c:tx>
            <c:strRef>
              <c:f>'Datos '!$I$55</c:f>
              <c:strCache>
                <c:ptCount val="1"/>
                <c:pt idx="0">
                  <c:v>Investigadores en el SNI por niveles</c:v>
                </c:pt>
              </c:strCache>
            </c:strRef>
          </c:tx>
          <c:spPr>
            <a:effectLst>
              <a:outerShdw blurRad="38100" dist="50800" dir="5400000" algn="ctr" rotWithShape="0">
                <a:srgbClr val="000000">
                  <a:alpha val="43137"/>
                </a:srgb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explosion val="16"/>
            <c:spPr>
              <a:gradFill flip="none" rotWithShape="1">
                <a:gsLst>
                  <a:gs pos="0">
                    <a:srgbClr val="7598D9">
                      <a:lumMod val="60000"/>
                      <a:lumOff val="40000"/>
                    </a:srgbClr>
                  </a:gs>
                  <a:gs pos="45000">
                    <a:srgbClr val="0066CC"/>
                  </a:gs>
                  <a:gs pos="100000">
                    <a:srgbClr val="AEBAD5">
                      <a:lumMod val="20000"/>
                      <a:lumOff val="80000"/>
                    </a:srgbClr>
                  </a:gs>
                </a:gsLst>
                <a:path path="rect">
                  <a:fillToRect l="100000" b="100000"/>
                </a:path>
                <a:tileRect t="-100000" r="-100000"/>
              </a:gradFill>
              <a:effectLst>
                <a:outerShdw blurRad="38100" dist="50800" dir="5400000" algn="ctr" rotWithShape="0">
                  <a:srgbClr val="000000">
                    <a:alpha val="43137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explosion val="16"/>
            <c:spPr>
              <a:gradFill flip="none" rotWithShape="1">
                <a:gsLst>
                  <a:gs pos="0">
                    <a:srgbClr val="7598D9">
                      <a:lumMod val="60000"/>
                      <a:lumOff val="40000"/>
                    </a:srgbClr>
                  </a:gs>
                  <a:gs pos="45000">
                    <a:srgbClr val="336699"/>
                  </a:gs>
                  <a:gs pos="100000">
                    <a:srgbClr val="AEBAD5">
                      <a:lumMod val="20000"/>
                      <a:lumOff val="80000"/>
                    </a:srgbClr>
                  </a:gs>
                </a:gsLst>
                <a:path path="rect">
                  <a:fillToRect l="100000" t="100000"/>
                </a:path>
                <a:tileRect r="-100000" b="-100000"/>
              </a:gradFill>
              <a:effectLst>
                <a:outerShdw blurRad="38100" dist="50800" dir="5400000" algn="ctr" rotWithShape="0">
                  <a:srgbClr val="000000">
                    <a:alpha val="43137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explosion val="10"/>
            <c:spPr>
              <a:gradFill flip="none" rotWithShape="1">
                <a:gsLst>
                  <a:gs pos="0">
                    <a:srgbClr val="7598D9">
                      <a:lumMod val="60000"/>
                      <a:lumOff val="40000"/>
                    </a:srgbClr>
                  </a:gs>
                  <a:gs pos="45000">
                    <a:srgbClr val="0099CC"/>
                  </a:gs>
                  <a:gs pos="100000">
                    <a:srgbClr val="AEBAD5">
                      <a:lumMod val="20000"/>
                      <a:lumOff val="80000"/>
                    </a:srgbClr>
                  </a:gs>
                </a:gsLst>
                <a:path path="rect">
                  <a:fillToRect l="50000" t="50000" r="50000" b="50000"/>
                </a:path>
                <a:tileRect/>
              </a:gradFill>
              <a:effectLst>
                <a:outerShdw blurRad="1143000" dist="2260600" dir="6000000" sx="162000" sy="162000" algn="ctr" rotWithShape="0">
                  <a:srgbClr val="000000">
                    <a:alpha val="81000"/>
                  </a:srgbClr>
                </a:outerShdw>
              </a:effectLst>
              <a:scene3d>
                <a:camera prst="orthographicFront"/>
                <a:lightRig rig="threePt" dir="t"/>
              </a:scene3d>
              <a:sp3d prstMaterial="matte">
                <a:bevelT/>
              </a:sp3d>
            </c:spPr>
          </c:dPt>
          <c:dPt>
            <c:idx val="3"/>
            <c:explosion val="17"/>
            <c:spPr>
              <a:gradFill flip="none" rotWithShape="1">
                <a:gsLst>
                  <a:gs pos="0">
                    <a:srgbClr val="7598D9">
                      <a:lumMod val="60000"/>
                      <a:lumOff val="40000"/>
                    </a:srgbClr>
                  </a:gs>
                  <a:gs pos="45000">
                    <a:srgbClr val="006699"/>
                  </a:gs>
                  <a:gs pos="100000">
                    <a:srgbClr val="AEBAD5">
                      <a:lumMod val="20000"/>
                      <a:lumOff val="80000"/>
                    </a:srgbClr>
                  </a:gs>
                </a:gsLst>
                <a:path path="rect">
                  <a:fillToRect r="100000" b="100000"/>
                </a:path>
                <a:tileRect l="-100000" t="-100000"/>
              </a:gradFill>
              <a:effectLst>
                <a:outerShdw blurRad="38100" dist="50800" dir="5400000" algn="ctr" rotWithShape="0">
                  <a:srgbClr val="000000">
                    <a:alpha val="43137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dLbl>
              <c:idx val="0"/>
              <c:layout>
                <c:manualLayout>
                  <c:x val="8.7938932989148205E-3"/>
                  <c:y val="-0.10913684499989994"/>
                </c:manualLayout>
              </c:layout>
              <c:dLblPos val="bestFit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7.6213626518504579E-2"/>
                  <c:y val="-0.28698948129603336"/>
                </c:manualLayout>
              </c:layout>
              <c:dLblPos val="bestFit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66528549455404E-2"/>
                  <c:y val="-0.18795805886005656"/>
                </c:manualLayout>
              </c:layout>
              <c:dLblPos val="bestFit"/>
              <c:showVal val="1"/>
              <c:showCatName val="1"/>
              <c:separator>
</c:separator>
            </c:dLbl>
            <c:dLbl>
              <c:idx val="3"/>
              <c:layout>
                <c:manualLayout>
                  <c:x val="-7.7679390807080861E-2"/>
                  <c:y val="-7.2757896666599833E-2"/>
                </c:manualLayout>
              </c:layout>
              <c:dLblPos val="bestFit"/>
              <c:showVal val="1"/>
              <c:showCatName val="1"/>
              <c:separator>
</c:separator>
            </c:dLbl>
            <c:spPr>
              <a:ln>
                <a:noFill/>
              </a:ln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rot="0"/>
              <a:lstStyle/>
              <a:p>
                <a:pPr>
                  <a:defRPr sz="2400" b="1">
                    <a:solidFill>
                      <a:srgbClr val="0066CC"/>
                    </a:solidFill>
                  </a:defRPr>
                </a:pPr>
                <a:endParaRPr lang="es-MX"/>
              </a:p>
            </c:txPr>
            <c:dLblPos val="outEnd"/>
            <c:showVal val="1"/>
            <c:showCatName val="1"/>
            <c:separator>
</c:separator>
            <c:showLeaderLines val="1"/>
            <c:leaderLines>
              <c:spPr>
                <a:ln>
                  <a:solidFill>
                    <a:srgbClr val="006699"/>
                  </a:solidFill>
                </a:ln>
              </c:spPr>
            </c:leaderLines>
          </c:dLbls>
          <c:cat>
            <c:strRef>
              <c:f>'Datos '!$I$56:$I$60</c:f>
              <c:strCache>
                <c:ptCount val="5"/>
                <c:pt idx="0">
                  <c:v>Nivel III</c:v>
                </c:pt>
                <c:pt idx="1">
                  <c:v>Nivel II</c:v>
                </c:pt>
                <c:pt idx="2">
                  <c:v>Nivel I</c:v>
                </c:pt>
                <c:pt idx="3">
                  <c:v>Candidato</c:v>
                </c:pt>
                <c:pt idx="4">
                  <c:v>T o t a l</c:v>
                </c:pt>
              </c:strCache>
            </c:strRef>
          </c:cat>
          <c:val>
            <c:numRef>
              <c:f>'Datos '!$X$56:$X$59</c:f>
              <c:numCache>
                <c:formatCode>#,##0</c:formatCode>
                <c:ptCount val="4"/>
                <c:pt idx="0">
                  <c:v>6</c:v>
                </c:pt>
                <c:pt idx="1">
                  <c:v>10</c:v>
                </c:pt>
                <c:pt idx="2">
                  <c:v>29</c:v>
                </c:pt>
                <c:pt idx="3">
                  <c:v>4</c:v>
                </c:pt>
              </c:numCache>
            </c:numRef>
          </c:val>
        </c:ser>
      </c:pie3DChart>
    </c:plotArea>
    <c:plotVisOnly val="1"/>
    <c:dispBlanksAs val="zero"/>
  </c:chart>
  <c:spPr>
    <a:ln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754912099276111"/>
          <c:y val="0.24745762711864408"/>
          <c:w val="0.78800413650465362"/>
          <c:h val="0.62881355932203387"/>
        </c:manualLayout>
      </c:layout>
      <c:barChart>
        <c:barDir val="col"/>
        <c:grouping val="clustered"/>
        <c:ser>
          <c:idx val="0"/>
          <c:order val="0"/>
          <c:tx>
            <c:strRef>
              <c:f>'Datos '!$I$56</c:f>
              <c:strCache>
                <c:ptCount val="1"/>
                <c:pt idx="0">
                  <c:v>Nivel III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1.3073960377496892E-3"/>
                  <c:y val="-4.429200587214777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6.8692033971454939E-4"/>
                  <c:y val="-2.734285332977465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1005708050713468E-3"/>
                  <c:y val="-1.0225899728635853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4.8009510703612176E-4"/>
                  <c:y val="-8.802170915076406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8.9374557239291067E-4"/>
                  <c:y val="-3.9886115930424827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numRef>
              <c:f>'Datos '!$T$55:$X$55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'!$T$56:$X$56</c:f>
              <c:numCache>
                <c:formatCode>0</c:formatCode>
                <c:ptCount val="5"/>
                <c:pt idx="0">
                  <c:v>4</c:v>
                </c:pt>
                <c:pt idx="1">
                  <c:v>6</c:v>
                </c:pt>
                <c:pt idx="2" formatCode="#,##0">
                  <c:v>6</c:v>
                </c:pt>
                <c:pt idx="3" formatCode="#,##0">
                  <c:v>6</c:v>
                </c:pt>
                <c:pt idx="4" formatCode="#,##0">
                  <c:v>6</c:v>
                </c:pt>
              </c:numCache>
            </c:numRef>
          </c:val>
        </c:ser>
        <c:ser>
          <c:idx val="1"/>
          <c:order val="1"/>
          <c:tx>
            <c:strRef>
              <c:f>'Datos '!$I$57</c:f>
              <c:strCache>
                <c:ptCount val="1"/>
                <c:pt idx="0">
                  <c:v>Nivel II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2.8029433239149244E-3"/>
                  <c:y val="-2.361564126518079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9.1991086429605803E-4"/>
                  <c:y val="-2.531055651941816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4.8313505796265322E-4"/>
                  <c:y val="-2.9954713287957693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9.4151622980941758E-4"/>
                  <c:y val="8.2494772899146726E-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3.4234190219500932E-3"/>
                  <c:y val="-3.2766582143333254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numRef>
              <c:f>'Datos '!$T$55:$X$55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'!$T$57:$X$57</c:f>
              <c:numCache>
                <c:formatCode>0</c:formatCode>
                <c:ptCount val="5"/>
                <c:pt idx="0">
                  <c:v>8</c:v>
                </c:pt>
                <c:pt idx="1">
                  <c:v>7</c:v>
                </c:pt>
                <c:pt idx="2" formatCode="#,##0">
                  <c:v>9</c:v>
                </c:pt>
                <c:pt idx="3" formatCode="#,##0">
                  <c:v>11</c:v>
                </c:pt>
                <c:pt idx="4" formatCode="#,##0">
                  <c:v>10</c:v>
                </c:pt>
              </c:numCache>
            </c:numRef>
          </c:val>
        </c:ser>
        <c:ser>
          <c:idx val="2"/>
          <c:order val="2"/>
          <c:tx>
            <c:strRef>
              <c:f>'Datos '!$I$58</c:f>
              <c:strCache>
                <c:ptCount val="1"/>
                <c:pt idx="0">
                  <c:v>Nivel I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9.1697948304553039E-4"/>
                  <c:y val="1.875884158547998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5374551810806456E-3"/>
                  <c:y val="-5.174963299079191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6.1150784280196539E-3"/>
                  <c:y val="-3.208861604163898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9149112307186622E-3"/>
                  <c:y val="-2.5615730237110192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3.8400008685575597E-3"/>
                  <c:y val="-5.27674718626294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numRef>
              <c:f>'Datos '!$T$55:$X$55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'!$T$58:$X$58</c:f>
              <c:numCache>
                <c:formatCode>0</c:formatCode>
                <c:ptCount val="5"/>
                <c:pt idx="0">
                  <c:v>28</c:v>
                </c:pt>
                <c:pt idx="1">
                  <c:v>28</c:v>
                </c:pt>
                <c:pt idx="2" formatCode="#,##0">
                  <c:v>29</c:v>
                </c:pt>
                <c:pt idx="3" formatCode="#,##0">
                  <c:v>27</c:v>
                </c:pt>
                <c:pt idx="4" formatCode="#,##0">
                  <c:v>29</c:v>
                </c:pt>
              </c:numCache>
            </c:numRef>
          </c:val>
        </c:ser>
        <c:ser>
          <c:idx val="3"/>
          <c:order val="3"/>
          <c:tx>
            <c:strRef>
              <c:f>'Datos '!$I$59</c:f>
              <c:strCache>
                <c:ptCount val="1"/>
                <c:pt idx="0">
                  <c:v>Candidato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6.2329850960979956E-4"/>
                  <c:y val="-2.361564126518079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0369489749666224E-3"/>
                  <c:y val="-2.575132345744956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6517790498524901E-3"/>
                  <c:y val="-2.1378353129587625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2.8983760690720452E-3"/>
                  <c:y val="6.5554517549711673E-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0964804425301832E-4"/>
                  <c:y val="-8.0902175363674767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numRef>
              <c:f>'Datos '!$T$55:$X$55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'!$T$59:$X$59</c:f>
              <c:numCache>
                <c:formatCode>0</c:formatCode>
                <c:ptCount val="5"/>
                <c:pt idx="0">
                  <c:v>3</c:v>
                </c:pt>
                <c:pt idx="1">
                  <c:v>5</c:v>
                </c:pt>
                <c:pt idx="2" formatCode="#,##0">
                  <c:v>5</c:v>
                </c:pt>
                <c:pt idx="3" formatCode="#,##0">
                  <c:v>5</c:v>
                </c:pt>
                <c:pt idx="4" formatCode="#,##0">
                  <c:v>4</c:v>
                </c:pt>
              </c:numCache>
            </c:numRef>
          </c:val>
        </c:ser>
        <c:ser>
          <c:idx val="4"/>
          <c:order val="4"/>
          <c:tx>
            <c:strRef>
              <c:f>'Datos '!$I$60</c:f>
              <c:strCache>
                <c:ptCount val="1"/>
                <c:pt idx="0">
                  <c:v>T o t a l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0282634008908441E-3"/>
                  <c:y val="-8.0564082032120749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4.1951322785791157E-4"/>
                  <c:y val="-8.7681836380623067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8.3316369321467137E-4"/>
                  <c:y val="-2.700475999822044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2.1268799517949456E-4"/>
                  <c:y val="3.1656212464965642E-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6.2633846053627984E-4"/>
                  <c:y val="-4.3275946438898786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numRef>
              <c:f>'Datos '!$T$55:$X$55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'!$T$60:$X$60</c:f>
              <c:numCache>
                <c:formatCode>0</c:formatCode>
                <c:ptCount val="5"/>
                <c:pt idx="0" formatCode="General">
                  <c:v>43</c:v>
                </c:pt>
                <c:pt idx="1">
                  <c:v>46</c:v>
                </c:pt>
                <c:pt idx="2" formatCode="#,##0">
                  <c:v>49</c:v>
                </c:pt>
                <c:pt idx="3" formatCode="#,##0">
                  <c:v>49</c:v>
                </c:pt>
                <c:pt idx="4" formatCode="#,##0">
                  <c:v>49</c:v>
                </c:pt>
              </c:numCache>
            </c:numRef>
          </c:val>
        </c:ser>
        <c:dLbls>
          <c:showVal val="1"/>
        </c:dLbls>
        <c:axId val="47858432"/>
        <c:axId val="47859968"/>
      </c:barChart>
      <c:catAx>
        <c:axId val="478584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47859968"/>
        <c:crosses val="autoZero"/>
        <c:auto val="1"/>
        <c:lblAlgn val="ctr"/>
        <c:lblOffset val="100"/>
        <c:tickLblSkip val="1"/>
        <c:tickMarkSkip val="1"/>
      </c:catAx>
      <c:valAx>
        <c:axId val="4785996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Investigadores </a:t>
                </a:r>
                <a:r>
                  <a:rPr lang="es-MX" baseline="0"/>
                  <a:t> en el </a:t>
                </a:r>
                <a:r>
                  <a:rPr lang="es-MX"/>
                  <a:t> SNI</a:t>
                </a:r>
              </a:p>
            </c:rich>
          </c:tx>
          <c:layout>
            <c:manualLayout>
              <c:xMode val="edge"/>
              <c:yMode val="edge"/>
              <c:x val="3.1023784901758008E-3"/>
              <c:y val="0.18474576271186746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478584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5501551189245093E-2"/>
          <c:y val="8.3050847457628765E-2"/>
          <c:w val="0.87383660806619223"/>
          <c:h val="0.12542372881355632"/>
        </c:manualLayout>
      </c:layout>
      <c:spPr>
        <a:noFill/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1026292878205762"/>
          <c:y val="0.27090608454482262"/>
          <c:w val="0.77247502774694787"/>
          <c:h val="0.60565218331743131"/>
        </c:manualLayout>
      </c:layout>
      <c:barChart>
        <c:barDir val="col"/>
        <c:grouping val="clustered"/>
        <c:ser>
          <c:idx val="1"/>
          <c:order val="0"/>
          <c:tx>
            <c:strRef>
              <c:f>'Datos '!$I$85</c:f>
              <c:strCache>
                <c:ptCount val="1"/>
                <c:pt idx="0">
                  <c:v>FONCICYT</c:v>
                </c:pt>
              </c:strCache>
            </c:strRef>
          </c:tx>
          <c:spPr>
            <a:solidFill>
              <a:srgbClr val="C00000"/>
            </a:solidFill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dLbl>
              <c:idx val="0"/>
              <c:layout>
                <c:manualLayout>
                  <c:x val="1.7259842519685041E-3"/>
                  <c:y val="2.119638797189504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3093030037911941E-3"/>
                  <c:y val="2.331702011963023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4.6486134674424324E-4"/>
                  <c:y val="7.9948939249999823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3.993813768231832E-4"/>
                  <c:y val="3.6925656687870146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5184619265902442E-3"/>
                  <c:y val="4.2616430835723034E-3"/>
                </c:manualLayout>
              </c:layout>
              <c:dLblPos val="outEnd"/>
              <c:showVal val="1"/>
            </c:dLbl>
            <c:showVal val="1"/>
          </c:dLbls>
          <c:cat>
            <c:numRef>
              <c:f>'Datos '!$T$81:$X$81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'!$S$85:$W$85</c:f>
            </c:numRef>
          </c:val>
        </c:ser>
        <c:ser>
          <c:idx val="0"/>
          <c:order val="1"/>
          <c:tx>
            <c:strRef>
              <c:f>'Datos '!$I$84</c:f>
              <c:strCache>
                <c:ptCount val="1"/>
                <c:pt idx="0">
                  <c:v>Vinculación </c:v>
                </c:pt>
              </c:strCache>
            </c:strRef>
          </c:tx>
          <c:spPr>
            <a:gradFill flip="none" rotWithShape="1">
              <a:gsLst>
                <a:gs pos="0">
                  <a:schemeClr val="accent1">
                    <a:lumMod val="60000"/>
                    <a:lumOff val="40000"/>
                  </a:schemeClr>
                </a:gs>
                <a:gs pos="45000">
                  <a:srgbClr val="FE8637">
                    <a:lumMod val="75000"/>
                  </a:srgbClr>
                </a:gs>
                <a:gs pos="100000">
                  <a:srgbClr val="AEBAD5">
                    <a:lumMod val="20000"/>
                    <a:lumOff val="80000"/>
                  </a:srgbClr>
                </a:gs>
              </a:gsLst>
              <a:path path="rect">
                <a:fillToRect t="100000" r="100000"/>
              </a:path>
              <a:tileRect l="-100000" b="-100000"/>
            </a:gra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>
                    <a:solidFill>
                      <a:srgbClr val="0000FF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'!$T$81:$X$81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'!$T$84:$X$84</c:f>
              <c:numCache>
                <c:formatCode>General</c:formatCode>
                <c:ptCount val="5"/>
                <c:pt idx="0">
                  <c:v>28</c:v>
                </c:pt>
                <c:pt idx="1">
                  <c:v>41</c:v>
                </c:pt>
                <c:pt idx="2">
                  <c:v>36</c:v>
                </c:pt>
                <c:pt idx="3">
                  <c:v>49</c:v>
                </c:pt>
                <c:pt idx="4" formatCode="#,##0">
                  <c:v>72</c:v>
                </c:pt>
              </c:numCache>
            </c:numRef>
          </c:val>
        </c:ser>
        <c:ser>
          <c:idx val="7"/>
          <c:order val="2"/>
          <c:tx>
            <c:strRef>
              <c:f>'Datos '!$I$83</c:f>
              <c:strCache>
                <c:ptCount val="1"/>
                <c:pt idx="0">
                  <c:v>Fondos Sect/Mixtos</c:v>
                </c:pt>
              </c:strCache>
            </c:strRef>
          </c:tx>
          <c:spPr>
            <a:gradFill flip="none" rotWithShape="1">
              <a:gsLst>
                <a:gs pos="0">
                  <a:srgbClr val="7598D9">
                    <a:lumMod val="60000"/>
                    <a:lumOff val="40000"/>
                  </a:srgbClr>
                </a:gs>
                <a:gs pos="45000">
                  <a:srgbClr val="7598D9">
                    <a:lumMod val="50000"/>
                  </a:srgbClr>
                </a:gs>
                <a:gs pos="100000">
                  <a:srgbClr val="AEBAD5">
                    <a:lumMod val="75000"/>
                    <a:alpha val="52000"/>
                  </a:srgbClr>
                </a:gs>
              </a:gsLst>
              <a:path path="rect">
                <a:fillToRect t="100000" r="100000"/>
              </a:path>
              <a:tileRect l="-100000" b="-100000"/>
            </a:gra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>
                    <a:solidFill>
                      <a:srgbClr val="0000FF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'!$T$81:$X$81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'!$T$83:$X$83</c:f>
              <c:numCache>
                <c:formatCode>General</c:formatCode>
                <c:ptCount val="5"/>
                <c:pt idx="0">
                  <c:v>38</c:v>
                </c:pt>
                <c:pt idx="1">
                  <c:v>45</c:v>
                </c:pt>
                <c:pt idx="2">
                  <c:v>38</c:v>
                </c:pt>
                <c:pt idx="3">
                  <c:v>39</c:v>
                </c:pt>
                <c:pt idx="4" formatCode="#,##0">
                  <c:v>36</c:v>
                </c:pt>
              </c:numCache>
            </c:numRef>
          </c:val>
        </c:ser>
        <c:ser>
          <c:idx val="8"/>
          <c:order val="3"/>
          <c:tx>
            <c:strRef>
              <c:f>'Datos '!$I$82</c:f>
              <c:strCache>
                <c:ptCount val="1"/>
                <c:pt idx="0">
                  <c:v>Fondo Institucional</c:v>
                </c:pt>
              </c:strCache>
            </c:strRef>
          </c:tx>
          <c:spPr>
            <a:gradFill>
              <a:gsLst>
                <a:gs pos="38000">
                  <a:schemeClr val="bg2">
                    <a:lumMod val="50000"/>
                  </a:schemeClr>
                </a:gs>
                <a:gs pos="45000">
                  <a:srgbClr val="FFF39D">
                    <a:lumMod val="50000"/>
                  </a:srgbClr>
                </a:gs>
                <a:gs pos="100000">
                  <a:srgbClr val="FFF39D"/>
                </a:gs>
              </a:gsLst>
              <a:path path="rect">
                <a:fillToRect t="100000" r="100000"/>
              </a:path>
            </a:gra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>
                    <a:solidFill>
                      <a:srgbClr val="0000FF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'!$T$81:$X$81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'!$T$82:$X$82</c:f>
              <c:numCache>
                <c:formatCode>General</c:formatCode>
                <c:ptCount val="5"/>
                <c:pt idx="0">
                  <c:v>21</c:v>
                </c:pt>
                <c:pt idx="1">
                  <c:v>19</c:v>
                </c:pt>
                <c:pt idx="2">
                  <c:v>11</c:v>
                </c:pt>
                <c:pt idx="3">
                  <c:v>6</c:v>
                </c:pt>
                <c:pt idx="4" formatCode="#,##0">
                  <c:v>7</c:v>
                </c:pt>
              </c:numCache>
            </c:numRef>
          </c:val>
        </c:ser>
        <c:axId val="48163072"/>
        <c:axId val="48046080"/>
      </c:barChart>
      <c:lineChart>
        <c:grouping val="standard"/>
        <c:ser>
          <c:idx val="5"/>
          <c:order val="4"/>
          <c:tx>
            <c:strRef>
              <c:f>'Datos '!$I$86</c:f>
              <c:strCache>
                <c:ptCount val="1"/>
                <c:pt idx="0">
                  <c:v>Total</c:v>
                </c:pt>
              </c:strCache>
            </c:strRef>
          </c:tx>
          <c:dLbls>
            <c:dLbl>
              <c:idx val="0"/>
              <c:layout>
                <c:manualLayout>
                  <c:x val="-1.793930587284507E-2"/>
                  <c:y val="3.4938606589487296E-2"/>
                </c:manualLayout>
              </c:layout>
              <c:showVal val="1"/>
            </c:dLbl>
            <c:dLbl>
              <c:idx val="1"/>
              <c:layout>
                <c:manualLayout>
                  <c:x val="-3.3898539251004348E-2"/>
                  <c:y val="-3.9314408490806689E-2"/>
                </c:manualLayout>
              </c:layout>
              <c:showVal val="1"/>
            </c:dLbl>
            <c:dLbl>
              <c:idx val="2"/>
              <c:layout>
                <c:manualLayout>
                  <c:x val="-3.1026824612713291E-2"/>
                  <c:y val="-3.4984613451376455E-2"/>
                </c:manualLayout>
              </c:layout>
              <c:showVal val="1"/>
            </c:dLbl>
            <c:dLbl>
              <c:idx val="3"/>
              <c:layout>
                <c:manualLayout>
                  <c:x val="-2.6533319726502989E-2"/>
                  <c:y val="-3.4933628235029192E-2"/>
                </c:manualLayout>
              </c:layout>
              <c:showVal val="1"/>
            </c:dLbl>
            <c:dLbl>
              <c:idx val="4"/>
              <c:layout>
                <c:manualLayout>
                  <c:x val="-2.9482240357697111E-2"/>
                  <c:y val="-3.7098697422139865E-2"/>
                </c:manualLayout>
              </c:layout>
              <c:showVal val="1"/>
            </c:dLbl>
            <c:txPr>
              <a:bodyPr/>
              <a:lstStyle/>
              <a:p>
                <a:pPr algn="ctr">
                  <a:defRPr sz="1600"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'!$T$81:$X$81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'!$T$86:$X$86</c:f>
              <c:numCache>
                <c:formatCode>General</c:formatCode>
                <c:ptCount val="5"/>
                <c:pt idx="0">
                  <c:v>87</c:v>
                </c:pt>
                <c:pt idx="1">
                  <c:v>106</c:v>
                </c:pt>
                <c:pt idx="2">
                  <c:v>86</c:v>
                </c:pt>
                <c:pt idx="3">
                  <c:v>95</c:v>
                </c:pt>
                <c:pt idx="4" formatCode="#,##0">
                  <c:v>115</c:v>
                </c:pt>
              </c:numCache>
            </c:numRef>
          </c:val>
        </c:ser>
        <c:marker val="1"/>
        <c:axId val="48163072"/>
        <c:axId val="48046080"/>
      </c:lineChart>
      <c:lineChart>
        <c:grouping val="standard"/>
        <c:ser>
          <c:idx val="2"/>
          <c:order val="5"/>
          <c:tx>
            <c:strRef>
              <c:f>'Datos '!$I$88</c:f>
              <c:strCache>
                <c:ptCount val="1"/>
                <c:pt idx="0">
                  <c:v>Índice de Proyectos por Investigador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3.5401211681302093E-2"/>
                  <c:y val="-3.2651825219245423E-2"/>
                </c:manualLayout>
              </c:layout>
              <c:showVal val="1"/>
            </c:dLbl>
            <c:dLbl>
              <c:idx val="1"/>
              <c:layout>
                <c:manualLayout>
                  <c:x val="1.3313641011299778E-2"/>
                  <c:y val="-1.2877762220994786E-2"/>
                </c:manualLayout>
              </c:layout>
              <c:showVal val="1"/>
            </c:dLbl>
            <c:dLbl>
              <c:idx val="2"/>
              <c:layout>
                <c:manualLayout>
                  <c:x val="-2.5149658734389607E-2"/>
                  <c:y val="-4.7689732095070485E-2"/>
                </c:manualLayout>
              </c:layout>
              <c:showVal val="1"/>
            </c:dLbl>
            <c:dLbl>
              <c:idx val="3"/>
              <c:layout>
                <c:manualLayout>
                  <c:x val="-3.1123423667491063E-2"/>
                  <c:y val="-4.10981661550055E-2"/>
                </c:manualLayout>
              </c:layout>
              <c:showVal val="1"/>
            </c:dLbl>
            <c:dLbl>
              <c:idx val="4"/>
              <c:layout>
                <c:manualLayout>
                  <c:x val="-4.8883218121597183E-2"/>
                  <c:y val="-2.8088185551031243E-2"/>
                </c:manualLayout>
              </c:layout>
              <c:showVal val="1"/>
            </c:dLbl>
            <c:txPr>
              <a:bodyPr/>
              <a:lstStyle/>
              <a:p>
                <a:pPr algn="ctr">
                  <a:defRPr sz="1600">
                    <a:solidFill>
                      <a:srgbClr val="003399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'!$T$81:$X$81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'!$T$88:$X$88</c:f>
              <c:numCache>
                <c:formatCode>#,##0.0</c:formatCode>
                <c:ptCount val="5"/>
                <c:pt idx="0">
                  <c:v>1.9772727272727273</c:v>
                </c:pt>
                <c:pt idx="1">
                  <c:v>2.2083333333333335</c:v>
                </c:pt>
                <c:pt idx="2">
                  <c:v>1.7551020408163265</c:v>
                </c:pt>
                <c:pt idx="3">
                  <c:v>1.8269230769230769</c:v>
                </c:pt>
                <c:pt idx="4">
                  <c:v>2.2115384615384617</c:v>
                </c:pt>
              </c:numCache>
            </c:numRef>
          </c:val>
        </c:ser>
        <c:marker val="1"/>
        <c:axId val="48047616"/>
        <c:axId val="48049152"/>
      </c:lineChart>
      <c:catAx>
        <c:axId val="48163072"/>
        <c:scaling>
          <c:orientation val="minMax"/>
        </c:scaling>
        <c:axPos val="b"/>
        <c:numFmt formatCode="General" sourceLinked="1"/>
        <c:majorTickMark val="cross"/>
        <c:tickLblPos val="nextTo"/>
        <c:txPr>
          <a:bodyPr rot="0" vert="horz"/>
          <a:lstStyle/>
          <a:p>
            <a:pPr>
              <a:defRPr b="1"/>
            </a:pPr>
            <a:endParaRPr lang="es-MX"/>
          </a:p>
        </c:txPr>
        <c:crossAx val="48046080"/>
        <c:crosses val="autoZero"/>
        <c:lblAlgn val="ctr"/>
        <c:lblOffset val="100"/>
        <c:tickLblSkip val="1"/>
        <c:tickMarkSkip val="1"/>
      </c:catAx>
      <c:valAx>
        <c:axId val="48046080"/>
        <c:scaling>
          <c:orientation val="minMax"/>
          <c:max val="150"/>
          <c:min val="0"/>
        </c:scaling>
        <c:axPos val="l"/>
        <c:title>
          <c:tx>
            <c:rich>
              <a:bodyPr/>
              <a:lstStyle/>
              <a:p>
                <a:pPr>
                  <a:defRPr sz="1600" b="0"/>
                </a:pPr>
                <a:r>
                  <a:rPr lang="es-MX" sz="1600" b="0"/>
                  <a:t>Proyectos</a:t>
                </a:r>
              </a:p>
            </c:rich>
          </c:tx>
          <c:layout>
            <c:manualLayout>
              <c:xMode val="edge"/>
              <c:yMode val="edge"/>
              <c:x val="0"/>
              <c:y val="0.46275149537792282"/>
            </c:manualLayout>
          </c:layout>
        </c:title>
        <c:numFmt formatCode="General" sourceLinked="1"/>
        <c:majorTickMark val="cross"/>
        <c:tickLblPos val="nextTo"/>
        <c:txPr>
          <a:bodyPr rot="0" vert="horz"/>
          <a:lstStyle/>
          <a:p>
            <a:pPr>
              <a:defRPr sz="1600" b="1">
                <a:solidFill>
                  <a:srgbClr val="C00000"/>
                </a:solidFill>
              </a:defRPr>
            </a:pPr>
            <a:endParaRPr lang="es-MX"/>
          </a:p>
        </c:txPr>
        <c:crossAx val="48163072"/>
        <c:crosses val="autoZero"/>
        <c:crossBetween val="between"/>
        <c:majorUnit val="20"/>
      </c:valAx>
      <c:catAx>
        <c:axId val="48047616"/>
        <c:scaling>
          <c:orientation val="minMax"/>
        </c:scaling>
        <c:delete val="1"/>
        <c:axPos val="b"/>
        <c:numFmt formatCode="General" sourceLinked="1"/>
        <c:tickLblPos val="none"/>
        <c:crossAx val="48049152"/>
        <c:crosses val="autoZero"/>
        <c:lblAlgn val="ctr"/>
        <c:lblOffset val="100"/>
      </c:catAx>
      <c:valAx>
        <c:axId val="48049152"/>
        <c:scaling>
          <c:orientation val="minMax"/>
        </c:scaling>
        <c:axPos val="r"/>
        <c:title>
          <c:tx>
            <c:rich>
              <a:bodyPr rot="5400000" vert="horz"/>
              <a:lstStyle/>
              <a:p>
                <a:pPr>
                  <a:defRPr sz="1600" b="0"/>
                </a:pPr>
                <a:r>
                  <a:rPr lang="es-MX" sz="1600" b="0"/>
                  <a:t>índice de Proyectos por Investigador</a:t>
                </a:r>
              </a:p>
            </c:rich>
          </c:tx>
          <c:layout>
            <c:manualLayout>
              <c:xMode val="edge"/>
              <c:yMode val="edge"/>
              <c:x val="0.95667756954605543"/>
              <c:y val="0.21641696499598967"/>
            </c:manualLayout>
          </c:layout>
        </c:title>
        <c:numFmt formatCode="#,##0.0" sourceLinked="1"/>
        <c:majorTickMark val="cross"/>
        <c:tickLblPos val="nextTo"/>
        <c:txPr>
          <a:bodyPr rot="0" vert="horz"/>
          <a:lstStyle/>
          <a:p>
            <a:pPr>
              <a:defRPr sz="1600" b="1">
                <a:solidFill>
                  <a:srgbClr val="336699"/>
                </a:solidFill>
              </a:defRPr>
            </a:pPr>
            <a:endParaRPr lang="es-MX"/>
          </a:p>
        </c:txPr>
        <c:crossAx val="48047616"/>
        <c:crosses val="max"/>
        <c:crossBetween val="between"/>
        <c:majorUnit val="0.30000000000000032"/>
      </c:valAx>
      <c:spPr>
        <a:gradFill>
          <a:gsLst>
            <a:gs pos="0">
              <a:schemeClr val="accent5">
                <a:lumMod val="75000"/>
              </a:schemeClr>
            </a:gs>
            <a:gs pos="12000">
              <a:schemeClr val="accent5">
                <a:lumMod val="60000"/>
                <a:lumOff val="40000"/>
              </a:schemeClr>
            </a:gs>
            <a:gs pos="48000">
              <a:schemeClr val="accent5">
                <a:lumMod val="20000"/>
                <a:lumOff val="80000"/>
              </a:schemeClr>
            </a:gs>
            <a:gs pos="100000">
              <a:schemeClr val="accent5">
                <a:lumMod val="20000"/>
                <a:lumOff val="80000"/>
              </a:schemeClr>
            </a:gs>
          </a:gsLst>
          <a:lin ang="5400000" scaled="0"/>
        </a:gradFill>
      </c:spPr>
    </c:plotArea>
    <c:legend>
      <c:legendPos val="r"/>
      <c:layout>
        <c:manualLayout>
          <c:xMode val="edge"/>
          <c:yMode val="edge"/>
          <c:x val="0"/>
          <c:y val="0"/>
          <c:w val="0.99454229094677848"/>
          <c:h val="0.17470625133685991"/>
        </c:manualLayout>
      </c:layout>
      <c:txPr>
        <a:bodyPr/>
        <a:lstStyle/>
        <a:p>
          <a:pPr>
            <a:defRPr sz="1400"/>
          </a:pPr>
          <a:endParaRPr lang="es-MX"/>
        </a:p>
      </c:txPr>
    </c:legend>
    <c:plotVisOnly val="1"/>
    <c:dispBlanksAs val="gap"/>
  </c:chart>
  <c:spPr>
    <a:gradFill>
      <a:gsLst>
        <a:gs pos="27000">
          <a:schemeClr val="accent5">
            <a:lumMod val="75000"/>
          </a:schemeClr>
        </a:gs>
        <a:gs pos="12000">
          <a:schemeClr val="accent5">
            <a:lumMod val="60000"/>
            <a:lumOff val="40000"/>
          </a:schemeClr>
        </a:gs>
        <a:gs pos="48000">
          <a:schemeClr val="accent5">
            <a:lumMod val="20000"/>
            <a:lumOff val="80000"/>
          </a:schemeClr>
        </a:gs>
        <a:gs pos="100000">
          <a:schemeClr val="accent2">
            <a:lumMod val="20000"/>
            <a:lumOff val="80000"/>
          </a:schemeClr>
        </a:gs>
      </a:gsLst>
      <a:lin ang="5400000" scaled="0"/>
    </a:gradFill>
  </c:spPr>
  <c:txPr>
    <a:bodyPr/>
    <a:lstStyle/>
    <a:p>
      <a:pPr>
        <a:defRPr sz="1400">
          <a:latin typeface="Arial Rounded MT Bold" pitchFamily="34" charset="0"/>
        </a:defRPr>
      </a:pPr>
      <a:endParaRPr lang="es-MX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3658081073199191"/>
          <c:y val="5.1114736269711802E-2"/>
          <c:w val="0.82346363371245246"/>
          <c:h val="0.61065796628602564"/>
        </c:manualLayout>
      </c:layout>
      <c:barChart>
        <c:barDir val="col"/>
        <c:grouping val="clustered"/>
        <c:ser>
          <c:idx val="1"/>
          <c:order val="0"/>
          <c:tx>
            <c:strRef>
              <c:f>'Datos '!$I$82</c:f>
              <c:strCache>
                <c:ptCount val="1"/>
                <c:pt idx="0">
                  <c:v>Fondo Institucional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0"/>
                  <c:y val="1.5225666122892952E-2"/>
                </c:manualLayout>
              </c:layout>
              <c:showVal val="1"/>
            </c:dLbl>
            <c:dLbl>
              <c:idx val="1"/>
              <c:layout>
                <c:manualLayout>
                  <c:x val="1.9563721201516985E-3"/>
                  <c:y val="1.7387231163804362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529017206182628E-4"/>
                  <c:y val="1.8865610803543521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3.4593175853018412E-3"/>
                  <c:y val="1.5997225469165679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1.5013939017889861E-3"/>
                  <c:y val="5.0434804947914564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000066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'!$T$81:$X$81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'!$T$82:$X$82</c:f>
              <c:numCache>
                <c:formatCode>General</c:formatCode>
                <c:ptCount val="5"/>
                <c:pt idx="0">
                  <c:v>21</c:v>
                </c:pt>
                <c:pt idx="1">
                  <c:v>19</c:v>
                </c:pt>
                <c:pt idx="2">
                  <c:v>11</c:v>
                </c:pt>
                <c:pt idx="3">
                  <c:v>6</c:v>
                </c:pt>
                <c:pt idx="4" formatCode="#,##0">
                  <c:v>7</c:v>
                </c:pt>
              </c:numCache>
            </c:numRef>
          </c:val>
        </c:ser>
        <c:ser>
          <c:idx val="0"/>
          <c:order val="1"/>
          <c:tx>
            <c:strRef>
              <c:f>'Datos '!$I$83</c:f>
              <c:strCache>
                <c:ptCount val="1"/>
                <c:pt idx="0">
                  <c:v>Fondos Sect/Mixtos</c:v>
                </c:pt>
              </c:strCache>
            </c:strRef>
          </c:tx>
          <c:spPr>
            <a:solidFill>
              <a:srgbClr val="00FFFF"/>
            </a:solidFill>
          </c:spPr>
          <c:dLbls>
            <c:dLbl>
              <c:idx val="0"/>
              <c:layout>
                <c:manualLayout>
                  <c:x val="-4.4395450568678919E-3"/>
                  <c:y val="1.740076128330618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4.4395116537180911E-3"/>
                  <c:y val="1.0875475802066525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4814814814814821E-3"/>
                  <c:y val="1.3050570962479609E-2"/>
                </c:manualLayout>
              </c:layout>
              <c:showVal val="1"/>
            </c:dLbl>
            <c:dLbl>
              <c:idx val="3"/>
              <c:layout>
                <c:manualLayout>
                  <c:x val="-4.4411781860602016E-3"/>
                  <c:y val="1.3050570962479609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0"/>
                  <c:y val="1.3050570962479609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'!$T$81:$X$81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'!$T$83:$X$83</c:f>
              <c:numCache>
                <c:formatCode>General</c:formatCode>
                <c:ptCount val="5"/>
                <c:pt idx="0">
                  <c:v>38</c:v>
                </c:pt>
                <c:pt idx="1">
                  <c:v>45</c:v>
                </c:pt>
                <c:pt idx="2">
                  <c:v>38</c:v>
                </c:pt>
                <c:pt idx="3">
                  <c:v>39</c:v>
                </c:pt>
                <c:pt idx="4" formatCode="#,##0">
                  <c:v>36</c:v>
                </c:pt>
              </c:numCache>
            </c:numRef>
          </c:val>
        </c:ser>
        <c:ser>
          <c:idx val="2"/>
          <c:order val="2"/>
          <c:tx>
            <c:strRef>
              <c:f>'Datos '!$I$84</c:f>
              <c:strCache>
                <c:ptCount val="1"/>
                <c:pt idx="0">
                  <c:v>Vinculación </c:v>
                </c:pt>
              </c:strCache>
            </c:strRef>
          </c:tx>
          <c:spPr>
            <a:solidFill>
              <a:srgbClr val="00B050"/>
            </a:solidFill>
          </c:spPr>
          <c:dLbls>
            <c:dLbl>
              <c:idx val="0"/>
              <c:layout>
                <c:manualLayout>
                  <c:x val="2.9629629629630005E-3"/>
                  <c:y val="1.5225666122892874E-2"/>
                </c:manualLayout>
              </c:layout>
              <c:showVal val="1"/>
            </c:dLbl>
            <c:dLbl>
              <c:idx val="1"/>
              <c:layout>
                <c:manualLayout>
                  <c:x val="1.4814814814814821E-3"/>
                  <c:y val="2.1750951604132669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4814814814814821E-3"/>
                  <c:y val="1.9575856443719661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9596967045785942E-3"/>
                  <c:y val="1.7400761283306181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1.4796041726748638E-3"/>
                  <c:y val="1.0875475802066525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'!$T$81:$X$81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'!$T$84:$X$84</c:f>
              <c:numCache>
                <c:formatCode>General</c:formatCode>
                <c:ptCount val="5"/>
                <c:pt idx="0">
                  <c:v>28</c:v>
                </c:pt>
                <c:pt idx="1">
                  <c:v>41</c:v>
                </c:pt>
                <c:pt idx="2">
                  <c:v>36</c:v>
                </c:pt>
                <c:pt idx="3">
                  <c:v>49</c:v>
                </c:pt>
                <c:pt idx="4" formatCode="#,##0">
                  <c:v>72</c:v>
                </c:pt>
              </c:numCache>
            </c:numRef>
          </c:val>
        </c:ser>
        <c:ser>
          <c:idx val="3"/>
          <c:order val="3"/>
          <c:tx>
            <c:strRef>
              <c:f>'Datos '!$I$85</c:f>
              <c:strCache>
                <c:ptCount val="1"/>
                <c:pt idx="0">
                  <c:v>FONCICYT</c:v>
                </c:pt>
              </c:strCache>
            </c:strRef>
          </c:tx>
          <c:dLbls>
            <c:dLbl>
              <c:idx val="2"/>
              <c:layout>
                <c:manualLayout>
                  <c:x val="1.4814814814814821E-3"/>
                  <c:y val="1.5225666122892874E-2"/>
                </c:manualLayout>
              </c:layout>
              <c:showVal val="1"/>
            </c:dLbl>
            <c:txPr>
              <a:bodyPr/>
              <a:lstStyle/>
              <a:p>
                <a:pPr>
                  <a:defRPr>
                    <a:solidFill>
                      <a:srgbClr val="000066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'!$T$81:$X$81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'!$S$85:$W$85</c:f>
            </c:numRef>
          </c:val>
        </c:ser>
        <c:ser>
          <c:idx val="5"/>
          <c:order val="4"/>
          <c:tx>
            <c:strRef>
              <c:f>'Datos '!$I$86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00CC"/>
            </a:solidFill>
          </c:spPr>
          <c:dLbls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'!$T$81:$X$81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'!$T$86:$X$86</c:f>
              <c:numCache>
                <c:formatCode>General</c:formatCode>
                <c:ptCount val="5"/>
                <c:pt idx="0">
                  <c:v>87</c:v>
                </c:pt>
                <c:pt idx="1">
                  <c:v>106</c:v>
                </c:pt>
                <c:pt idx="2">
                  <c:v>86</c:v>
                </c:pt>
                <c:pt idx="3">
                  <c:v>95</c:v>
                </c:pt>
                <c:pt idx="4" formatCode="#,##0">
                  <c:v>115</c:v>
                </c:pt>
              </c:numCache>
            </c:numRef>
          </c:val>
        </c:ser>
        <c:axId val="48353664"/>
        <c:axId val="48355200"/>
      </c:barChart>
      <c:catAx>
        <c:axId val="4835366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i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48355200"/>
        <c:crosses val="autoZero"/>
        <c:lblAlgn val="ctr"/>
        <c:lblOffset val="100"/>
        <c:tickLblSkip val="1"/>
        <c:tickMarkSkip val="1"/>
      </c:catAx>
      <c:valAx>
        <c:axId val="4835520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800">
                    <a:solidFill>
                      <a:schemeClr val="tx1">
                        <a:lumMod val="65000"/>
                        <a:lumOff val="35000"/>
                      </a:schemeClr>
                    </a:solidFill>
                  </a:defRPr>
                </a:pPr>
                <a:r>
                  <a:rPr lang="es-MX" sz="1800">
                    <a:solidFill>
                      <a:schemeClr val="tx1">
                        <a:lumMod val="65000"/>
                        <a:lumOff val="35000"/>
                      </a:schemeClr>
                    </a:solidFill>
                  </a:rPr>
                  <a:t>Número de Proyectos</a:t>
                </a:r>
              </a:p>
            </c:rich>
          </c:tx>
          <c:layout>
            <c:manualLayout>
              <c:xMode val="edge"/>
              <c:yMode val="edge"/>
              <c:x val="2.6655118110236412E-2"/>
              <c:y val="0.1495377922784122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i="1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  <a:endParaRPr lang="es-MX"/>
          </a:p>
        </c:txPr>
        <c:crossAx val="483536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0000000000000022E-2"/>
          <c:y val="0.77215878194671017"/>
          <c:w val="0.93629629629629663"/>
          <c:h val="0.20119630233822741"/>
        </c:manualLayout>
      </c:layout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2000" b="0" i="0" u="none" strike="noStrike" baseline="0">
          <a:solidFill>
            <a:srgbClr val="333399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5838366393974557"/>
          <c:y val="3.5782165599418915E-2"/>
          <c:w val="0.73528642301463609"/>
          <c:h val="0.6802873325044908"/>
        </c:manualLayout>
      </c:layout>
      <c:barChart>
        <c:barDir val="col"/>
        <c:grouping val="clustered"/>
        <c:ser>
          <c:idx val="1"/>
          <c:order val="0"/>
          <c:tx>
            <c:strRef>
              <c:f>'Datos '!$I$120</c:f>
              <c:strCache>
                <c:ptCount val="1"/>
                <c:pt idx="0">
                  <c:v>Tesis</c:v>
                </c:pt>
              </c:strCache>
            </c:strRef>
          </c:tx>
          <c:spPr>
            <a:gradFill flip="none" rotWithShape="1">
              <a:gsLst>
                <a:gs pos="0">
                  <a:srgbClr val="7598D9">
                    <a:lumMod val="20000"/>
                    <a:lumOff val="80000"/>
                  </a:srgbClr>
                </a:gs>
                <a:gs pos="50000">
                  <a:schemeClr val="accent1">
                    <a:lumMod val="50000"/>
                  </a:schemeClr>
                </a:gs>
                <a:gs pos="100000">
                  <a:srgbClr val="7598D9">
                    <a:lumMod val="60000"/>
                    <a:lumOff val="40000"/>
                  </a:srgbClr>
                </a:gs>
              </a:gsLst>
              <a:path path="circle">
                <a:fillToRect l="100000" t="100000"/>
              </a:path>
              <a:tileRect r="-100000" b="-100000"/>
            </a:gradFill>
            <a:ln w="25400">
              <a:noFill/>
            </a:ln>
            <a:effectLst>
              <a:outerShdw blurRad="355600" dist="38100" dir="17340000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5.48596710471215E-4"/>
                  <c:y val="1.11997290661248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2380608841484821E-3"/>
                  <c:y val="4.4085575890450033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0086122895444509E-4"/>
                  <c:y val="5.383050847457628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1349873923463861E-3"/>
                  <c:y val="4.0059255304951379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9.3326493443751332E-4"/>
                  <c:y val="3.8576271186440712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Val val="1"/>
          </c:dLbls>
          <c:cat>
            <c:numRef>
              <c:f>'Datos '!$W$119:$X$119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'!$W$120:$X$120</c:f>
              <c:numCache>
                <c:formatCode>General</c:formatCode>
                <c:ptCount val="2"/>
                <c:pt idx="0">
                  <c:v>32</c:v>
                </c:pt>
                <c:pt idx="1">
                  <c:v>16</c:v>
                </c:pt>
              </c:numCache>
            </c:numRef>
          </c:val>
        </c:ser>
        <c:ser>
          <c:idx val="2"/>
          <c:order val="1"/>
          <c:tx>
            <c:strRef>
              <c:f>'Datos '!$I$121</c:f>
              <c:strCache>
                <c:ptCount val="1"/>
                <c:pt idx="0">
                  <c:v>Servicio social</c:v>
                </c:pt>
              </c:strCache>
            </c:strRef>
          </c:tx>
          <c:spPr>
            <a:gradFill flip="none" rotWithShape="1">
              <a:gsLst>
                <a:gs pos="0">
                  <a:srgbClr val="7598D9">
                    <a:lumMod val="20000"/>
                    <a:lumOff val="80000"/>
                  </a:srgbClr>
                </a:gs>
                <a:gs pos="50000">
                  <a:schemeClr val="accent5">
                    <a:lumMod val="50000"/>
                  </a:schemeClr>
                </a:gs>
                <a:gs pos="100000">
                  <a:srgbClr val="7598D9">
                    <a:lumMod val="60000"/>
                    <a:lumOff val="40000"/>
                  </a:srgbClr>
                </a:gs>
              </a:gsLst>
              <a:path path="circle">
                <a:fillToRect l="100000" t="100000"/>
              </a:path>
              <a:tileRect r="-100000" b="-100000"/>
            </a:gradFill>
            <a:ln w="25400">
              <a:noFill/>
            </a:ln>
            <a:effectLst>
              <a:outerShdw blurRad="393700" dist="165100" dir="18120000" sx="101000" sy="101000" rotWithShape="0">
                <a:prstClr val="black">
                  <a:alpha val="82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6852808886959132E-3"/>
                  <c:y val="8.5123145684888567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7192207157229939E-3"/>
                  <c:y val="6.359103244522315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5120091632806442E-4"/>
                  <c:y val="4.196610169491528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3.8292524706393832E-4"/>
                  <c:y val="3.6669424796476759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7194532431118672E-3"/>
                  <c:y val="5.4042439610302993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Val val="1"/>
          </c:dLbls>
          <c:cat>
            <c:numRef>
              <c:f>'Datos '!$W$119:$X$119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'!$W$121:$X$121</c:f>
              <c:numCache>
                <c:formatCode>General</c:formatCode>
                <c:ptCount val="2"/>
                <c:pt idx="0">
                  <c:v>80</c:v>
                </c:pt>
                <c:pt idx="1">
                  <c:v>70</c:v>
                </c:pt>
              </c:numCache>
            </c:numRef>
          </c:val>
        </c:ser>
        <c:ser>
          <c:idx val="3"/>
          <c:order val="2"/>
          <c:tx>
            <c:strRef>
              <c:f>'Datos '!$I$122</c:f>
              <c:strCache>
                <c:ptCount val="1"/>
                <c:pt idx="0">
                  <c:v>Prácticas o  Residencias profesionales</c:v>
                </c:pt>
              </c:strCache>
            </c:strRef>
          </c:tx>
          <c:spPr>
            <a:gradFill>
              <a:gsLst>
                <a:gs pos="0">
                  <a:srgbClr val="7598D9">
                    <a:lumMod val="20000"/>
                    <a:lumOff val="80000"/>
                  </a:srgbClr>
                </a:gs>
                <a:gs pos="50000">
                  <a:srgbClr val="99FF33"/>
                </a:gs>
                <a:gs pos="100000">
                  <a:srgbClr val="7598D9">
                    <a:lumMod val="60000"/>
                    <a:lumOff val="40000"/>
                  </a:srgbClr>
                </a:gs>
              </a:gsLst>
              <a:path path="circle">
                <a:fillToRect l="100000" t="100000"/>
              </a:path>
            </a:gradFill>
            <a:ln w="25400">
              <a:noFill/>
            </a:ln>
            <a:effectLst>
              <a:outerShdw blurRad="177800" dist="38100" dir="16200000" sx="109000" sy="109000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3.5052748368655812E-3"/>
                  <c:y val="1.388732180973144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4032040509653798E-3"/>
                  <c:y val="1.6931584740362687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4032630616105503E-3"/>
                  <c:y val="3.8788202322167405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3.6913689821861656E-4"/>
                  <c:y val="5.0652609101828533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3.6913689821861656E-4"/>
                  <c:y val="5.1923662084612368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Val val="1"/>
          </c:dLbls>
          <c:cat>
            <c:numRef>
              <c:f>'Datos '!$W$119:$X$119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'!$W$122:$X$122</c:f>
              <c:numCache>
                <c:formatCode>General</c:formatCode>
                <c:ptCount val="2"/>
                <c:pt idx="0">
                  <c:v>52</c:v>
                </c:pt>
                <c:pt idx="1">
                  <c:v>35</c:v>
                </c:pt>
              </c:numCache>
            </c:numRef>
          </c:val>
        </c:ser>
        <c:ser>
          <c:idx val="4"/>
          <c:order val="3"/>
          <c:tx>
            <c:strRef>
              <c:f>'Datos '!#REF!</c:f>
              <c:strCache>
                <c:ptCount val="1"/>
                <c:pt idx="0">
                  <c:v>#REF!</c:v>
                </c:pt>
              </c:strCache>
            </c:strRef>
          </c:tx>
          <c:spPr>
            <a:gradFill>
              <a:gsLst>
                <a:gs pos="0">
                  <a:srgbClr val="7598D9">
                    <a:lumMod val="20000"/>
                    <a:lumOff val="80000"/>
                  </a:srgbClr>
                </a:gs>
                <a:gs pos="50000">
                  <a:srgbClr val="0099CC"/>
                </a:gs>
                <a:gs pos="100000">
                  <a:srgbClr val="7598D9">
                    <a:lumMod val="60000"/>
                    <a:lumOff val="40000"/>
                  </a:srgbClr>
                </a:gs>
              </a:gsLst>
              <a:path path="circle">
                <a:fillToRect l="100000" t="100000"/>
              </a:path>
            </a:gradFill>
            <a:effectLst>
              <a:outerShdw blurRad="673100" dist="266700" dir="17280000" rotWithShape="0">
                <a:prstClr val="black">
                  <a:alpha val="38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9372695304019148E-3"/>
                  <c:y val="1.8109790605546124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1.3582342954159578E-2"/>
                </c:manualLayout>
              </c:layout>
              <c:showVal val="1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Val val="1"/>
          </c:dLbls>
          <c:cat>
            <c:numRef>
              <c:f>'Datos '!$W$119:$X$119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4"/>
          <c:tx>
            <c:strRef>
              <c:f>'Datos '!$I$123</c:f>
              <c:strCache>
                <c:ptCount val="1"/>
                <c:pt idx="0">
                  <c:v>T o t a l</c:v>
                </c:pt>
              </c:strCache>
            </c:strRef>
          </c:tx>
          <c:spPr>
            <a:gradFill>
              <a:gsLst>
                <a:gs pos="0">
                  <a:srgbClr val="7598D9">
                    <a:lumMod val="20000"/>
                    <a:lumOff val="80000"/>
                  </a:srgbClr>
                </a:gs>
                <a:gs pos="19000">
                  <a:srgbClr val="0033CC"/>
                </a:gs>
                <a:gs pos="100000">
                  <a:srgbClr val="7598D9">
                    <a:lumMod val="60000"/>
                    <a:lumOff val="40000"/>
                  </a:srgbClr>
                </a:gs>
              </a:gsLst>
              <a:path path="circle">
                <a:fillToRect l="100000" t="100000"/>
              </a:path>
            </a:gradFill>
            <a:ln w="25400">
              <a:noFill/>
            </a:ln>
            <a:effectLst>
              <a:outerShdw blurRad="431800" dist="38100" dir="21540000" algn="bl" rotWithShape="0">
                <a:prstClr val="black">
                  <a:alpha val="59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1695626320849151E-3"/>
                  <c:y val="1.595604454366803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2606025074166861E-3"/>
                  <c:y val="4.994528226344579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3.7391396396029689E-3"/>
                  <c:y val="9.4436585257352268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8.8147719901084847E-4"/>
                  <c:y val="3.9350504915699087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5.3971071609843733E-3"/>
                  <c:y val="2.4520663730593149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Val val="1"/>
          </c:dLbls>
          <c:cat>
            <c:numRef>
              <c:f>'Datos '!$W$119:$X$119</c:f>
              <c:numCache>
                <c:formatCode>General</c:formatCode>
                <c:ptCount val="2"/>
                <c:pt idx="0">
                  <c:v>2011</c:v>
                </c:pt>
                <c:pt idx="1">
                  <c:v>2012</c:v>
                </c:pt>
              </c:numCache>
            </c:numRef>
          </c:cat>
          <c:val>
            <c:numRef>
              <c:f>'Datos '!$W$123:$X$123</c:f>
              <c:numCache>
                <c:formatCode>General</c:formatCode>
                <c:ptCount val="2"/>
                <c:pt idx="0">
                  <c:v>164</c:v>
                </c:pt>
                <c:pt idx="1">
                  <c:v>121</c:v>
                </c:pt>
              </c:numCache>
            </c:numRef>
          </c:val>
        </c:ser>
        <c:dLbls>
          <c:showVal val="1"/>
        </c:dLbls>
        <c:axId val="48462848"/>
        <c:axId val="48374528"/>
      </c:barChart>
      <c:catAx>
        <c:axId val="4846284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1">
                <a:solidFill>
                  <a:sysClr val="windowText" lastClr="000000"/>
                </a:solidFill>
              </a:defRPr>
            </a:pPr>
            <a:endParaRPr lang="es-MX"/>
          </a:p>
        </c:txPr>
        <c:crossAx val="48374528"/>
        <c:crosses val="autoZero"/>
        <c:auto val="1"/>
        <c:lblAlgn val="ctr"/>
        <c:lblOffset val="100"/>
        <c:tickLblSkip val="1"/>
        <c:tickMarkSkip val="1"/>
      </c:catAx>
      <c:valAx>
        <c:axId val="4837452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2400" b="0">
                    <a:solidFill>
                      <a:srgbClr val="002060"/>
                    </a:solidFill>
                  </a:defRPr>
                </a:pPr>
                <a:r>
                  <a:rPr lang="es-MX" sz="2400" b="0">
                    <a:solidFill>
                      <a:srgbClr val="002060"/>
                    </a:solidFill>
                  </a:rPr>
                  <a:t>Número de Alumnos</a:t>
                </a:r>
              </a:p>
              <a:p>
                <a:pPr>
                  <a:defRPr sz="2400" b="0">
                    <a:solidFill>
                      <a:srgbClr val="002060"/>
                    </a:solidFill>
                  </a:defRPr>
                </a:pPr>
                <a:r>
                  <a:rPr lang="es-MX" sz="2400" b="0">
                    <a:solidFill>
                      <a:srgbClr val="00206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3.983937006357479E-2"/>
              <c:y val="0.1682272992616160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1">
                <a:solidFill>
                  <a:srgbClr val="C00000"/>
                </a:solidFill>
              </a:defRPr>
            </a:pPr>
            <a:endParaRPr lang="es-MX"/>
          </a:p>
        </c:txPr>
        <c:crossAx val="48462848"/>
        <c:crosses val="autoZero"/>
        <c:crossBetween val="between"/>
        <c:majorUnit val="3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9803519370662783E-2"/>
          <c:y val="0.79838758695061129"/>
          <c:w val="0.89999994649949033"/>
          <c:h val="0.18507118698447941"/>
        </c:manualLayout>
      </c:layout>
      <c:spPr>
        <a:noFill/>
        <a:ln w="25400">
          <a:noFill/>
        </a:ln>
      </c:spPr>
      <c:txPr>
        <a:bodyPr/>
        <a:lstStyle/>
        <a:p>
          <a:pPr>
            <a:defRPr sz="2000">
              <a:solidFill>
                <a:srgbClr val="000066"/>
              </a:solidFill>
            </a:defRPr>
          </a:pPr>
          <a:endParaRPr lang="es-MX"/>
        </a:p>
      </c:txPr>
    </c:legend>
    <c:plotVisOnly val="1"/>
    <c:dispBlanksAs val="gap"/>
  </c:chart>
  <c:spPr>
    <a:gradFill flip="none" rotWithShape="1">
      <a:gsLst>
        <a:gs pos="0">
          <a:srgbClr val="FFF39D">
            <a:lumMod val="90000"/>
          </a:srgbClr>
        </a:gs>
        <a:gs pos="0">
          <a:sysClr val="window" lastClr="FFFFFF"/>
        </a:gs>
        <a:gs pos="100000">
          <a:srgbClr val="7598D9">
            <a:lumMod val="60000"/>
            <a:lumOff val="40000"/>
          </a:srgbClr>
        </a:gs>
      </a:gsLst>
      <a:path path="rect">
        <a:fillToRect l="50000" t="50000" r="50000" b="50000"/>
      </a:path>
      <a:tileRect/>
    </a:gra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654827968923419"/>
          <c:y val="0.23001631321370311"/>
          <c:w val="0.84572697003330388"/>
          <c:h val="0.68678629690048965"/>
        </c:manualLayout>
      </c:layout>
      <c:barChart>
        <c:barDir val="col"/>
        <c:grouping val="clustered"/>
        <c:ser>
          <c:idx val="1"/>
          <c:order val="0"/>
          <c:tx>
            <c:strRef>
              <c:f>'Datos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339933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2.9634031595107291E-3"/>
                  <c:y val="0.86133768352365414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9969616727988142E-4"/>
                  <c:y val="0.8646003262642856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'!$Q$81:$U$81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'Datos '!$I$82</c:f>
              <c:strCache>
                <c:ptCount val="1"/>
                <c:pt idx="0">
                  <c:v>Fondo Institucional</c:v>
                </c:pt>
              </c:strCache>
            </c:strRef>
          </c:tx>
          <c:spPr>
            <a:solidFill>
              <a:srgbClr val="808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2.1824685898725606E-4"/>
                  <c:y val="0.86623164763460081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6995930447652288E-4"/>
                  <c:y val="-3.167418102101045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2.2937476877544121E-3"/>
                  <c:y val="-2.9125723069281639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5.1794302626709319E-4"/>
                  <c:y val="6.1820657409667433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2937476877543635E-3"/>
                  <c:y val="2.5827114188215644E-4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'!$Q$81:$U$81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'!$Q$82:$U$82</c:f>
              <c:numCache>
                <c:formatCode>#,##0</c:formatCode>
                <c:ptCount val="5"/>
                <c:pt idx="1">
                  <c:v>4</c:v>
                </c:pt>
                <c:pt idx="2" formatCode="General">
                  <c:v>9</c:v>
                </c:pt>
                <c:pt idx="3" formatCode="General">
                  <c:v>21</c:v>
                </c:pt>
                <c:pt idx="4" formatCode="General">
                  <c:v>19</c:v>
                </c:pt>
              </c:numCache>
            </c:numRef>
          </c:val>
        </c:ser>
        <c:ser>
          <c:idx val="4"/>
          <c:order val="2"/>
          <c:tx>
            <c:strRef>
              <c:f>'Datos '!$I$83</c:f>
              <c:strCache>
                <c:ptCount val="1"/>
                <c:pt idx="0">
                  <c:v>Fondos Sect/Mixtos</c:v>
                </c:pt>
              </c:strCache>
            </c:strRef>
          </c:tx>
          <c:spPr>
            <a:solidFill>
              <a:srgbClr val="3333CC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9977802441731567E-3"/>
                  <c:y val="6.783556623121912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4.4395116537182034E-4"/>
                  <c:y val="3.092745543838033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1221492485225657E-17"/>
                  <c:y val="8.1497561581311447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6592674805770428E-4"/>
                  <c:y val="-2.4129854893749467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2197558268593882E-4"/>
                  <c:y val="3.1641640227272733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'!$Q$81:$U$81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'!$Q$83:$U$83</c:f>
              <c:numCache>
                <c:formatCode>#,##0</c:formatCode>
                <c:ptCount val="5"/>
                <c:pt idx="0" formatCode="General">
                  <c:v>20</c:v>
                </c:pt>
                <c:pt idx="1">
                  <c:v>18</c:v>
                </c:pt>
                <c:pt idx="2" formatCode="General">
                  <c:v>34</c:v>
                </c:pt>
                <c:pt idx="3" formatCode="General">
                  <c:v>38</c:v>
                </c:pt>
                <c:pt idx="4" formatCode="General">
                  <c:v>45</c:v>
                </c:pt>
              </c:numCache>
            </c:numRef>
          </c:val>
        </c:ser>
        <c:dLbls>
          <c:showVal val="1"/>
        </c:dLbls>
        <c:axId val="48560384"/>
        <c:axId val="48652288"/>
      </c:barChart>
      <c:lineChart>
        <c:grouping val="standard"/>
        <c:ser>
          <c:idx val="2"/>
          <c:order val="3"/>
          <c:tx>
            <c:strRef>
              <c:f>'Datos '!$I$84</c:f>
              <c:strCache>
                <c:ptCount val="1"/>
                <c:pt idx="0">
                  <c:v>Vinculación </c:v>
                </c:pt>
              </c:strCache>
            </c:strRef>
          </c:tx>
          <c:dLbls>
            <c:dLbl>
              <c:idx val="0"/>
              <c:layout>
                <c:manualLayout>
                  <c:x val="-2.1309655937846828E-2"/>
                  <c:y val="-2.877582390292568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2874583795782693E-2"/>
                  <c:y val="-3.187542014018229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2.4417314095449456E-2"/>
                  <c:y val="2.523110386079449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3751387347391781E-2"/>
                  <c:y val="2.111195317551060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3085460599334102E-2"/>
                  <c:y val="4.7549635414659605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'!$Q$81:$U$81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'!$Q$84:$U$84</c:f>
              <c:numCache>
                <c:formatCode>#,##0</c:formatCode>
                <c:ptCount val="5"/>
                <c:pt idx="0" formatCode="General">
                  <c:v>35</c:v>
                </c:pt>
                <c:pt idx="1">
                  <c:v>51</c:v>
                </c:pt>
                <c:pt idx="2" formatCode="General">
                  <c:v>32</c:v>
                </c:pt>
                <c:pt idx="3" formatCode="General">
                  <c:v>28</c:v>
                </c:pt>
                <c:pt idx="4" formatCode="General">
                  <c:v>41</c:v>
                </c:pt>
              </c:numCache>
            </c:numRef>
          </c:val>
        </c:ser>
        <c:ser>
          <c:idx val="3"/>
          <c:order val="4"/>
          <c:tx>
            <c:strRef>
              <c:f>'Datos '!#REF!</c:f>
              <c:strCache>
                <c:ptCount val="1"/>
                <c:pt idx="0">
                  <c:v>#REF!</c:v>
                </c:pt>
              </c:strCache>
            </c:strRef>
          </c:tx>
          <c:dLbls>
            <c:dLbl>
              <c:idx val="0"/>
              <c:layout>
                <c:manualLayout>
                  <c:x val="-2.7968923418424437E-2"/>
                  <c:y val="-3.803350845418381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7302996670366612E-2"/>
                  <c:y val="-4.6710082936207924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1076581576026652E-2"/>
                  <c:y val="-3.881859791995819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1531631520532796E-2"/>
                  <c:y val="-4.105158143975880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0876803551609297E-2"/>
                  <c:y val="-3.3414942218682638E-2"/>
                </c:manualLayout>
              </c:layout>
              <c:dLblPos val="r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'!$Q$81:$U$81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'Datos '!$I$86</c:f>
              <c:strCache>
                <c:ptCount val="1"/>
                <c:pt idx="0">
                  <c:v>Total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'!$Q$81:$U$81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'!$Q$86:$U$86</c:f>
              <c:numCache>
                <c:formatCode>General</c:formatCode>
                <c:ptCount val="5"/>
                <c:pt idx="0">
                  <c:v>55</c:v>
                </c:pt>
                <c:pt idx="1">
                  <c:v>73</c:v>
                </c:pt>
                <c:pt idx="2">
                  <c:v>75</c:v>
                </c:pt>
                <c:pt idx="3">
                  <c:v>87</c:v>
                </c:pt>
                <c:pt idx="4">
                  <c:v>106</c:v>
                </c:pt>
              </c:numCache>
            </c:numRef>
          </c:val>
        </c:ser>
        <c:ser>
          <c:idx val="6"/>
          <c:order val="6"/>
          <c:tx>
            <c:strRef>
              <c:f>'Datos '!$I$88</c:f>
              <c:strCache>
                <c:ptCount val="1"/>
                <c:pt idx="0">
                  <c:v>Índice de Proyectos por Investigador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'!$Q$81:$U$81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'!$Q$88:$U$88</c:f>
              <c:numCache>
                <c:formatCode>#,##0.0</c:formatCode>
                <c:ptCount val="5"/>
                <c:pt idx="0">
                  <c:v>1.5277777777777777</c:v>
                </c:pt>
                <c:pt idx="1">
                  <c:v>2.0857142857142859</c:v>
                </c:pt>
                <c:pt idx="2">
                  <c:v>2.1428571428571428</c:v>
                </c:pt>
                <c:pt idx="3">
                  <c:v>1.9772727272727273</c:v>
                </c:pt>
                <c:pt idx="4">
                  <c:v>2.2083333333333335</c:v>
                </c:pt>
              </c:numCache>
            </c:numRef>
          </c:val>
        </c:ser>
        <c:ser>
          <c:idx val="7"/>
          <c:order val="7"/>
          <c:tx>
            <c:strRef>
              <c:f>'Datos '!$I$89</c:f>
              <c:strCache>
                <c:ptCount val="1"/>
                <c:pt idx="0">
                  <c:v>Índice de Proyectos de Vinculación  por Investigador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'!$Q$81:$U$81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'!$Q$89:$U$89</c:f>
              <c:numCache>
                <c:formatCode>#,##0.0</c:formatCode>
                <c:ptCount val="5"/>
                <c:pt idx="0">
                  <c:v>0.97222222222222221</c:v>
                </c:pt>
                <c:pt idx="1">
                  <c:v>1.4571428571428571</c:v>
                </c:pt>
                <c:pt idx="2">
                  <c:v>0.91428571428571426</c:v>
                </c:pt>
                <c:pt idx="3">
                  <c:v>0.63636363636363635</c:v>
                </c:pt>
                <c:pt idx="4">
                  <c:v>0.85416666666666663</c:v>
                </c:pt>
              </c:numCache>
            </c:numRef>
          </c:val>
        </c:ser>
        <c:dLbls>
          <c:showVal val="1"/>
        </c:dLbls>
        <c:marker val="1"/>
        <c:axId val="48560384"/>
        <c:axId val="48652288"/>
      </c:lineChart>
      <c:catAx>
        <c:axId val="4856038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8652288"/>
        <c:crosses val="autoZero"/>
        <c:lblAlgn val="ctr"/>
        <c:lblOffset val="100"/>
        <c:tickLblSkip val="1"/>
        <c:tickMarkSkip val="1"/>
      </c:catAx>
      <c:valAx>
        <c:axId val="4865228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Número de Proyectos</a:t>
                </a:r>
              </a:p>
            </c:rich>
          </c:tx>
          <c:layout>
            <c:manualLayout>
              <c:xMode val="edge"/>
              <c:yMode val="edge"/>
              <c:x val="0"/>
              <c:y val="0.3817292006525285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8560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4.4395116537180911E-3"/>
          <c:y val="0"/>
          <c:w val="0.99112097669256294"/>
          <c:h val="0.22185970636215335"/>
        </c:manualLayout>
      </c:layout>
      <c:spPr>
        <a:noFill/>
        <a:ln w="25400">
          <a:noFill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286567020399318"/>
          <c:y val="0.10342134733158473"/>
          <c:w val="0.76840026377245252"/>
          <c:h val="0.63556710411198558"/>
        </c:manualLayout>
      </c:layout>
      <c:barChart>
        <c:barDir val="col"/>
        <c:grouping val="clustered"/>
        <c:ser>
          <c:idx val="1"/>
          <c:order val="0"/>
          <c:tx>
            <c:strRef>
              <c:f>'Datos '!$I$145</c:f>
              <c:strCache>
                <c:ptCount val="1"/>
                <c:pt idx="0">
                  <c:v>Graduados de Maestría 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2.7070534052278002E-3"/>
                  <c:y val="4.730917607566603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4.9924680680083367E-4"/>
                  <c:y val="1.1064145290655348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2251041110106264E-4"/>
                  <c:y val="1.9014374837843722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9.9422572178480147E-4"/>
                  <c:y val="-7.522309711286090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5266841644794406E-4"/>
                  <c:y val="7.4223972003499734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strRef>
              <c:f>'Datos '!$T$144:$X$144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'!$T$145:$X$145</c:f>
              <c:numCache>
                <c:formatCode>General</c:formatCode>
                <c:ptCount val="5"/>
                <c:pt idx="0">
                  <c:v>16</c:v>
                </c:pt>
                <c:pt idx="1">
                  <c:v>21</c:v>
                </c:pt>
                <c:pt idx="2">
                  <c:v>22</c:v>
                </c:pt>
                <c:pt idx="3">
                  <c:v>15</c:v>
                </c:pt>
                <c:pt idx="4">
                  <c:v>40</c:v>
                </c:pt>
              </c:numCache>
            </c:numRef>
          </c:val>
        </c:ser>
        <c:ser>
          <c:idx val="0"/>
          <c:order val="1"/>
          <c:tx>
            <c:strRef>
              <c:f>'Datos '!$I$146</c:f>
              <c:strCache>
                <c:ptCount val="1"/>
                <c:pt idx="0">
                  <c:v>Graduados de Doctorado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4698162729658793E-4"/>
                  <c:y val="8.572528433945852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7012540099154321E-3"/>
                  <c:y val="9.79702537182852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6642169728784208E-3"/>
                  <c:y val="1.5804024496938207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4698162729658793E-4"/>
                  <c:y val="1.2793175853018555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0000000000000052E-3"/>
                  <c:y val="1.3657742782152231E-2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'Datos '!$T$144:$X$144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'!$T$146:$X$146</c:f>
              <c:numCache>
                <c:formatCode>General</c:formatCode>
                <c:ptCount val="5"/>
                <c:pt idx="0">
                  <c:v>24</c:v>
                </c:pt>
                <c:pt idx="1">
                  <c:v>26</c:v>
                </c:pt>
                <c:pt idx="2">
                  <c:v>18</c:v>
                </c:pt>
                <c:pt idx="3">
                  <c:v>19</c:v>
                </c:pt>
                <c:pt idx="4">
                  <c:v>32</c:v>
                </c:pt>
              </c:numCache>
            </c:numRef>
          </c:val>
        </c:ser>
        <c:dLbls>
          <c:showVal val="1"/>
        </c:dLbls>
        <c:axId val="48743552"/>
        <c:axId val="48745088"/>
      </c:barChart>
      <c:lineChart>
        <c:grouping val="standard"/>
        <c:ser>
          <c:idx val="2"/>
          <c:order val="2"/>
          <c:tx>
            <c:strRef>
              <c:f>'Datos '!$I$147</c:f>
              <c:strCache>
                <c:ptCount val="1"/>
                <c:pt idx="0">
                  <c:v>Tiempo Promedio Graduación Maestría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7.9541833075526831E-3"/>
                  <c:y val="-3.755293231086739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7250970423394704E-2"/>
                  <c:y val="-4.354330815471602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8698629337999398E-2"/>
                  <c:y val="-5.520384951881014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6470224555264397E-2"/>
                  <c:y val="-3.733560804899401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1239320318643966E-2"/>
                  <c:y val="4.6879241712150466E-2"/>
                </c:manualLayout>
              </c:layout>
              <c:dLblPos val="r"/>
              <c:showVal val="1"/>
            </c:dLbl>
            <c:dLbl>
              <c:idx val="5"/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s-MX"/>
              </a:p>
            </c:txPr>
            <c:showVal val="1"/>
          </c:dLbls>
          <c:cat>
            <c:strRef>
              <c:f>'Datos '!$T$144:$X$144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'!$T$147:$X$147</c:f>
              <c:numCache>
                <c:formatCode>General</c:formatCode>
                <c:ptCount val="5"/>
                <c:pt idx="0" formatCode="0.0">
                  <c:v>3</c:v>
                </c:pt>
                <c:pt idx="1">
                  <c:v>2.4</c:v>
                </c:pt>
                <c:pt idx="2">
                  <c:v>2.5</c:v>
                </c:pt>
                <c:pt idx="3">
                  <c:v>2.9</c:v>
                </c:pt>
                <c:pt idx="4">
                  <c:v>2.6</c:v>
                </c:pt>
              </c:numCache>
            </c:numRef>
          </c:val>
        </c:ser>
        <c:ser>
          <c:idx val="3"/>
          <c:order val="3"/>
          <c:tx>
            <c:strRef>
              <c:f>'Datos '!$I$148</c:f>
              <c:strCache>
                <c:ptCount val="1"/>
                <c:pt idx="0">
                  <c:v>Tiempo Promedio Graduación Doctorado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dLbls>
            <c:dLbl>
              <c:idx val="0"/>
              <c:layout>
                <c:manualLayout>
                  <c:x val="-2.7931985749284582E-2"/>
                  <c:y val="-3.533433524724580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5146716538346392E-3"/>
                  <c:y val="-3.044037113631601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1283817047841305E-2"/>
                  <c:y val="-4.822185970636109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5949256342957085E-3"/>
                  <c:y val="-4.503167104112070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9030764883579878E-2"/>
                  <c:y val="-4.5122263469105507E-2"/>
                </c:manualLayout>
              </c:layout>
              <c:dLblPos val="r"/>
              <c:showVal val="1"/>
            </c:dLbl>
            <c:dLbl>
              <c:idx val="5"/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Val val="1"/>
          </c:dLbls>
          <c:cat>
            <c:strRef>
              <c:f>'Datos '!$T$144:$X$144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'!$T$148:$X$148</c:f>
              <c:numCache>
                <c:formatCode>General</c:formatCode>
                <c:ptCount val="5"/>
                <c:pt idx="0">
                  <c:v>4.4000000000000004</c:v>
                </c:pt>
                <c:pt idx="1">
                  <c:v>4.3</c:v>
                </c:pt>
                <c:pt idx="2">
                  <c:v>4.4000000000000004</c:v>
                </c:pt>
                <c:pt idx="3" formatCode="0.0">
                  <c:v>4</c:v>
                </c:pt>
                <c:pt idx="4" formatCode="0.0">
                  <c:v>5</c:v>
                </c:pt>
              </c:numCache>
            </c:numRef>
          </c:val>
        </c:ser>
        <c:dLbls>
          <c:showVal val="1"/>
        </c:dLbls>
        <c:marker val="1"/>
        <c:axId val="48792320"/>
        <c:axId val="48793856"/>
      </c:lineChart>
      <c:catAx>
        <c:axId val="4874355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 i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48745088"/>
        <c:crosses val="autoZero"/>
        <c:lblAlgn val="ctr"/>
        <c:lblOffset val="100"/>
        <c:tickLblSkip val="1"/>
        <c:tickMarkSkip val="1"/>
      </c:catAx>
      <c:valAx>
        <c:axId val="48745088"/>
        <c:scaling>
          <c:orientation val="minMax"/>
          <c:max val="50"/>
        </c:scaling>
        <c:axPos val="l"/>
        <c:title>
          <c:tx>
            <c:rich>
              <a:bodyPr/>
              <a:lstStyle/>
              <a:p>
                <a:pPr>
                  <a:defRPr b="1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s-MX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Número de Alumnos Graduados</a:t>
                </a:r>
              </a:p>
            </c:rich>
          </c:tx>
          <c:layout>
            <c:manualLayout>
              <c:xMode val="edge"/>
              <c:yMode val="edge"/>
              <c:x val="1.1186934966462695E-3"/>
              <c:y val="0.1512887139107612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48743552"/>
        <c:crosses val="autoZero"/>
        <c:crossBetween val="between"/>
      </c:valAx>
      <c:catAx>
        <c:axId val="48792320"/>
        <c:scaling>
          <c:orientation val="minMax"/>
        </c:scaling>
        <c:delete val="1"/>
        <c:axPos val="b"/>
        <c:numFmt formatCode="General" sourceLinked="1"/>
        <c:tickLblPos val="none"/>
        <c:crossAx val="48793856"/>
        <c:crosses val="autoZero"/>
        <c:lblAlgn val="ctr"/>
        <c:lblOffset val="100"/>
      </c:catAx>
      <c:valAx>
        <c:axId val="48793856"/>
        <c:scaling>
          <c:orientation val="minMax"/>
          <c:max val="5"/>
        </c:scaling>
        <c:axPos val="r"/>
        <c:title>
          <c:tx>
            <c:rich>
              <a:bodyPr rot="5400000" vert="horz"/>
              <a:lstStyle/>
              <a:p>
                <a:pPr algn="ctr">
                  <a:defRPr b="1">
                    <a:solidFill>
                      <a:srgbClr val="FF0000"/>
                    </a:solidFill>
                  </a:defRPr>
                </a:pPr>
                <a:r>
                  <a:rPr lang="es-MX" b="1">
                    <a:solidFill>
                      <a:srgbClr val="FF0000"/>
                    </a:solidFill>
                  </a:rPr>
                  <a:t>Tiempo Promedio de Graduación (años)</a:t>
                </a:r>
              </a:p>
            </c:rich>
          </c:tx>
          <c:layout>
            <c:manualLayout>
              <c:xMode val="edge"/>
              <c:yMode val="edge"/>
              <c:x val="0.94001563137941946"/>
              <c:y val="0.1038169728783902"/>
            </c:manualLayout>
          </c:layout>
          <c:spPr>
            <a:noFill/>
            <a:ln w="25400">
              <a:noFill/>
            </a:ln>
          </c:spPr>
        </c:title>
        <c:numFmt formatCode="0.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4879232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9889180519101683E-3"/>
          <c:y val="0.83107489063868711"/>
          <c:w val="0.99001108194808951"/>
          <c:h val="0.10670288713910582"/>
        </c:manualLayout>
      </c:layout>
      <c:spPr>
        <a:noFill/>
        <a:ln w="25400">
          <a:noFill/>
        </a:ln>
      </c:spPr>
    </c:legend>
    <c:plotVisOnly val="1"/>
    <c:dispBlanksAs val="gap"/>
  </c:chart>
  <c:spPr>
    <a:gradFill>
      <a:gsLst>
        <a:gs pos="4000">
          <a:srgbClr val="003399"/>
        </a:gs>
        <a:gs pos="22000">
          <a:srgbClr val="AFBBD6"/>
        </a:gs>
        <a:gs pos="15000">
          <a:schemeClr val="accent5">
            <a:lumMod val="75000"/>
          </a:schemeClr>
        </a:gs>
        <a:gs pos="48000">
          <a:schemeClr val="accent5">
            <a:lumMod val="20000"/>
            <a:lumOff val="80000"/>
          </a:schemeClr>
        </a:gs>
        <a:gs pos="100000">
          <a:schemeClr val="accent5">
            <a:lumMod val="20000"/>
            <a:lumOff val="80000"/>
          </a:schemeClr>
        </a:gs>
      </a:gsLst>
      <a:lin ang="5400000" scaled="0"/>
    </a:gra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876803551609326"/>
          <c:y val="4.8939641109298562E-2"/>
          <c:w val="0.7758046614872367"/>
          <c:h val="0.63675910821099346"/>
        </c:manualLayout>
      </c:layout>
      <c:barChart>
        <c:barDir val="col"/>
        <c:grouping val="clustered"/>
        <c:ser>
          <c:idx val="1"/>
          <c:order val="0"/>
          <c:tx>
            <c:strRef>
              <c:f>'Datos '!$I$94</c:f>
              <c:strCache>
                <c:ptCount val="1"/>
                <c:pt idx="0">
                  <c:v>Artículos en revistas indizadas </c:v>
                </c:pt>
              </c:strCache>
            </c:strRef>
          </c:tx>
          <c:spPr>
            <a:gradFill flip="none" rotWithShape="1">
              <a:gsLst>
                <a:gs pos="0">
                  <a:srgbClr val="7598D9">
                    <a:lumMod val="60000"/>
                    <a:lumOff val="40000"/>
                  </a:srgbClr>
                </a:gs>
                <a:gs pos="45000">
                  <a:srgbClr val="006699"/>
                </a:gs>
                <a:gs pos="100000">
                  <a:srgbClr val="AEBAD5">
                    <a:lumMod val="20000"/>
                    <a:lumOff val="80000"/>
                  </a:srgbClr>
                </a:gs>
              </a:gsLst>
              <a:lin ang="2700000" scaled="1"/>
              <a:tileRect/>
            </a:gra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dLbls>
            <c:dLbl>
              <c:idx val="0"/>
              <c:layout>
                <c:manualLayout>
                  <c:x val="0"/>
                  <c:y val="1.9575856443719702E-2"/>
                </c:manualLayout>
              </c:layout>
              <c:showVal val="1"/>
            </c:dLbl>
            <c:dLbl>
              <c:idx val="1"/>
              <c:layout>
                <c:manualLayout>
                  <c:x val="-2.9596744358120607E-3"/>
                  <c:y val="1.9575856443719661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5225666122892874E-2"/>
                </c:manualLayout>
              </c:layout>
              <c:showVal val="1"/>
            </c:dLbl>
            <c:dLbl>
              <c:idx val="3"/>
              <c:layout>
                <c:manualLayout>
                  <c:x val="0"/>
                  <c:y val="1.3050570962479609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8.7003806416530716E-3"/>
                </c:manualLayout>
              </c:layout>
              <c:showVal val="1"/>
            </c:dLbl>
            <c:txPr>
              <a:bodyPr/>
              <a:lstStyle/>
              <a:p>
                <a:pPr>
                  <a:defRPr sz="2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'!$T$93:$X$93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'!$T$94:$X$94</c:f>
              <c:numCache>
                <c:formatCode>#,##0</c:formatCode>
                <c:ptCount val="5"/>
                <c:pt idx="0">
                  <c:v>101</c:v>
                </c:pt>
                <c:pt idx="1">
                  <c:v>113</c:v>
                </c:pt>
                <c:pt idx="2">
                  <c:v>104</c:v>
                </c:pt>
                <c:pt idx="3">
                  <c:v>115</c:v>
                </c:pt>
                <c:pt idx="4">
                  <c:v>134</c:v>
                </c:pt>
              </c:numCache>
            </c:numRef>
          </c:val>
        </c:ser>
        <c:ser>
          <c:idx val="0"/>
          <c:order val="1"/>
          <c:tx>
            <c:strRef>
              <c:f>'Datos '!$I$95</c:f>
              <c:strCache>
                <c:ptCount val="1"/>
                <c:pt idx="0">
                  <c:v>Artículos  en extenso en Congresos Internacionales</c:v>
                </c:pt>
              </c:strCache>
            </c:strRef>
          </c:tx>
          <c:spPr>
            <a:gradFill flip="none" rotWithShape="1">
              <a:gsLst>
                <a:gs pos="0">
                  <a:srgbClr val="7598D9">
                    <a:lumMod val="60000"/>
                    <a:lumOff val="40000"/>
                  </a:srgbClr>
                </a:gs>
                <a:gs pos="45000">
                  <a:schemeClr val="accent3">
                    <a:lumMod val="60000"/>
                    <a:lumOff val="40000"/>
                  </a:schemeClr>
                </a:gs>
                <a:gs pos="100000">
                  <a:srgbClr val="AEBAD5">
                    <a:lumMod val="20000"/>
                    <a:lumOff val="80000"/>
                  </a:srgbClr>
                </a:gs>
              </a:gsLst>
              <a:lin ang="8100000" scaled="1"/>
              <a:tileRect/>
            </a:gra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0"/>
                  <c:y val="1.5225666122892874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1.0875475802066504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0875475802066504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8.7003806416530716E-3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20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'!$T$93:$X$93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'!$T$95:$X$95</c:f>
              <c:numCache>
                <c:formatCode>#,##0</c:formatCode>
                <c:ptCount val="5"/>
                <c:pt idx="0" formatCode="General">
                  <c:v>129</c:v>
                </c:pt>
                <c:pt idx="1">
                  <c:v>130</c:v>
                </c:pt>
                <c:pt idx="2">
                  <c:v>78</c:v>
                </c:pt>
                <c:pt idx="3">
                  <c:v>83</c:v>
                </c:pt>
                <c:pt idx="4">
                  <c:v>91</c:v>
                </c:pt>
              </c:numCache>
            </c:numRef>
          </c:val>
        </c:ser>
        <c:dLbls>
          <c:showVal val="1"/>
        </c:dLbls>
        <c:axId val="48934272"/>
        <c:axId val="48850048"/>
      </c:barChart>
      <c:lineChart>
        <c:grouping val="standard"/>
        <c:ser>
          <c:idx val="2"/>
          <c:order val="2"/>
          <c:tx>
            <c:strRef>
              <c:f>'Datos '!$I$96</c:f>
              <c:strCache>
                <c:ptCount val="1"/>
                <c:pt idx="0">
                  <c:v>Índice Total</c:v>
                </c:pt>
              </c:strCache>
            </c:strRef>
          </c:tx>
          <c:spPr>
            <a:ln w="44450">
              <a:solidFill>
                <a:srgbClr val="00206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60"/>
              </a:solidFill>
              <a:ln>
                <a:noFill/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layout>
                <c:manualLayout>
                  <c:x val="-1.1838697743248243E-2"/>
                  <c:y val="5.002718868950517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0358860525342212E-2"/>
                  <c:y val="3.915171288743882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7.3991860895301735E-3"/>
                  <c:y val="5.002718868950515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4798372179060304E-2"/>
                  <c:y val="4.132680804785207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6278325919581921E-2"/>
                  <c:y val="3.6976275192354656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sz="1800">
                    <a:solidFill>
                      <a:schemeClr val="tx1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'!$T$93:$X$93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'!$T$96:$X$96</c:f>
              <c:numCache>
                <c:formatCode>#,##0.0</c:formatCode>
                <c:ptCount val="5"/>
                <c:pt idx="0">
                  <c:v>5.2272727272727275</c:v>
                </c:pt>
                <c:pt idx="1">
                  <c:v>5.0625</c:v>
                </c:pt>
                <c:pt idx="2">
                  <c:v>3.7142857142857144</c:v>
                </c:pt>
                <c:pt idx="3">
                  <c:v>3.8076923076923075</c:v>
                </c:pt>
                <c:pt idx="4">
                  <c:v>4.3269230769230766</c:v>
                </c:pt>
              </c:numCache>
            </c:numRef>
          </c:val>
        </c:ser>
        <c:ser>
          <c:idx val="3"/>
          <c:order val="3"/>
          <c:tx>
            <c:strRef>
              <c:f>'Datos '!$I$97</c:f>
              <c:strCache>
                <c:ptCount val="1"/>
                <c:pt idx="0">
                  <c:v>Índice Revistas</c:v>
                </c:pt>
              </c:strCache>
            </c:strRef>
          </c:tx>
          <c:spPr>
            <a:ln w="44450">
              <a:solidFill>
                <a:srgbClr val="C00000"/>
              </a:solidFill>
            </a:ln>
          </c:spPr>
          <c:marker>
            <c:symbol val="circle"/>
            <c:size val="8"/>
            <c:spPr>
              <a:solidFill>
                <a:srgbClr val="C0000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1.3318534961154272E-2"/>
                  <c:y val="-3.262642740619904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7.3991860895301596E-3"/>
                  <c:y val="-3.0451332245785809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358860525342212E-2"/>
                  <c:y val="-3.045133224578581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7758046614872364E-2"/>
                  <c:y val="-3.6976617727026338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6278325919581921E-2"/>
                  <c:y val="-3.4801522566612411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 sz="1800" b="1"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'!$T$93:$X$93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'!$T$97:$X$97</c:f>
              <c:numCache>
                <c:formatCode>#,##0.0</c:formatCode>
                <c:ptCount val="5"/>
                <c:pt idx="0">
                  <c:v>2.2954545454545454</c:v>
                </c:pt>
                <c:pt idx="1">
                  <c:v>2.3541666666666665</c:v>
                </c:pt>
                <c:pt idx="2">
                  <c:v>2.1224489795918369</c:v>
                </c:pt>
                <c:pt idx="3">
                  <c:v>2.2115384615384617</c:v>
                </c:pt>
                <c:pt idx="4">
                  <c:v>2.5769230769230771</c:v>
                </c:pt>
              </c:numCache>
            </c:numRef>
          </c:val>
        </c:ser>
        <c:dLbls>
          <c:showVal val="1"/>
        </c:dLbls>
        <c:marker val="1"/>
        <c:axId val="48851968"/>
        <c:axId val="48853760"/>
      </c:lineChart>
      <c:catAx>
        <c:axId val="4893427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0" i="1"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endParaRPr lang="es-MX"/>
          </a:p>
        </c:txPr>
        <c:crossAx val="48850048"/>
        <c:crosses val="autoZero"/>
        <c:lblAlgn val="ctr"/>
        <c:lblOffset val="100"/>
        <c:tickLblSkip val="1"/>
        <c:tickMarkSkip val="1"/>
      </c:catAx>
      <c:valAx>
        <c:axId val="48850048"/>
        <c:scaling>
          <c:orientation val="minMax"/>
          <c:max val="150"/>
        </c:scaling>
        <c:axPos val="l"/>
        <c:title>
          <c:tx>
            <c:rich>
              <a:bodyPr/>
              <a:lstStyle/>
              <a:p>
                <a:pPr>
                  <a:defRPr b="0">
                    <a:solidFill>
                      <a:schemeClr val="tx1">
                        <a:lumMod val="85000"/>
                        <a:lumOff val="15000"/>
                      </a:schemeClr>
                    </a:solidFill>
                  </a:defRPr>
                </a:pPr>
                <a:r>
                  <a:rPr lang="es-MX" b="0">
                    <a:solidFill>
                      <a:schemeClr val="tx1">
                        <a:lumMod val="85000"/>
                        <a:lumOff val="15000"/>
                      </a:schemeClr>
                    </a:solidFill>
                  </a:rPr>
                  <a:t>Número de Artículos</a:t>
                </a:r>
              </a:p>
            </c:rich>
          </c:tx>
          <c:layout>
            <c:manualLayout>
              <c:xMode val="edge"/>
              <c:yMode val="edge"/>
              <c:x val="0"/>
              <c:y val="0.18542686242523349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 i="1"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endParaRPr lang="es-MX"/>
          </a:p>
        </c:txPr>
        <c:crossAx val="48934272"/>
        <c:crosses val="autoZero"/>
        <c:crossBetween val="between"/>
        <c:majorUnit val="30"/>
      </c:valAx>
      <c:catAx>
        <c:axId val="48851968"/>
        <c:scaling>
          <c:orientation val="minMax"/>
        </c:scaling>
        <c:delete val="1"/>
        <c:axPos val="b"/>
        <c:numFmt formatCode="General" sourceLinked="1"/>
        <c:tickLblPos val="none"/>
        <c:crossAx val="48853760"/>
        <c:crosses val="autoZero"/>
        <c:lblAlgn val="ctr"/>
        <c:lblOffset val="100"/>
      </c:catAx>
      <c:valAx>
        <c:axId val="48853760"/>
        <c:scaling>
          <c:orientation val="minMax"/>
          <c:max val="7"/>
        </c:scaling>
        <c:axPos val="r"/>
        <c:title>
          <c:tx>
            <c:rich>
              <a:bodyPr rot="5400000" vert="horz"/>
              <a:lstStyle/>
              <a:p>
                <a:pPr algn="ctr">
                  <a:defRPr b="0">
                    <a:solidFill>
                      <a:schemeClr val="tx1">
                        <a:lumMod val="85000"/>
                        <a:lumOff val="15000"/>
                      </a:schemeClr>
                    </a:solidFill>
                  </a:defRPr>
                </a:pPr>
                <a:r>
                  <a:rPr lang="es-MX" b="0">
                    <a:solidFill>
                      <a:schemeClr val="tx1">
                        <a:lumMod val="85000"/>
                        <a:lumOff val="15000"/>
                      </a:schemeClr>
                    </a:solidFill>
                  </a:rPr>
                  <a:t>Índice</a:t>
                </a:r>
              </a:p>
            </c:rich>
          </c:tx>
          <c:layout>
            <c:manualLayout>
              <c:xMode val="edge"/>
              <c:yMode val="edge"/>
              <c:x val="0.96189419163892065"/>
              <c:y val="0.27351821642196844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 i="1"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endParaRPr lang="es-MX"/>
          </a:p>
        </c:txPr>
        <c:crossAx val="4885196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78357803153888972"/>
          <c:w val="0.97314841194240365"/>
          <c:h val="0.21642196846112327"/>
        </c:manualLayout>
      </c:layout>
      <c:spPr>
        <a:noFill/>
        <a:ln w="25400">
          <a:noFill/>
        </a:ln>
      </c:spPr>
      <c:txPr>
        <a:bodyPr/>
        <a:lstStyle/>
        <a:p>
          <a:pPr>
            <a:defRPr b="1"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800" b="1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4868906386701683"/>
          <c:y val="0.19575856443719444"/>
          <c:w val="0.81871834354039064"/>
          <c:h val="0.6644915715062536"/>
        </c:manualLayout>
      </c:layout>
      <c:barChart>
        <c:barDir val="col"/>
        <c:grouping val="clustered"/>
        <c:ser>
          <c:idx val="2"/>
          <c:order val="0"/>
          <c:tx>
            <c:strRef>
              <c:f>'Datos '!$I$538:$Q$538</c:f>
              <c:strCache>
                <c:ptCount val="1"/>
                <c:pt idx="0">
                  <c:v>Fondos Institucionales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0"/>
                  </a:schemeClr>
                </a:gs>
                <a:gs pos="38000">
                  <a:schemeClr val="accent1">
                    <a:lumMod val="50000"/>
                  </a:schemeClr>
                </a:gs>
                <a:gs pos="10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ln w="38100">
              <a:noFill/>
              <a:prstDash val="solid"/>
            </a:ln>
            <a:effectLst>
              <a:glow rad="635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5.438343514496952E-3"/>
                  <c:y val="9.1765038342476654E-4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3.2926960711487092E-3"/>
                  <c:y val="4.0090257885790946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8515443616163235E-4"/>
                  <c:y val="5.7494444515807184E-4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5526609395800978E-3"/>
                  <c:y val="3.273432582754286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6.2898907891787163E-4"/>
                  <c:y val="2.6154234798952758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18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'!$T$537:$X$537</c:f>
            </c:multiLvlStrRef>
          </c:cat>
          <c:val>
            <c:numRef>
              <c:f>'Datos '!$T$538:$X$538</c:f>
            </c:numRef>
          </c:val>
        </c:ser>
        <c:ser>
          <c:idx val="0"/>
          <c:order val="1"/>
          <c:tx>
            <c:strRef>
              <c:f>'Datos '!$I$539:$Q$539</c:f>
              <c:strCache>
                <c:ptCount val="1"/>
                <c:pt idx="0">
                  <c:v>Fondos Mixtos</c:v>
                </c:pt>
              </c:strCache>
            </c:strRef>
          </c:tx>
          <c:spPr>
            <a:gradFill>
              <a:gsLst>
                <a:gs pos="0">
                  <a:schemeClr val="bg2">
                    <a:lumMod val="50000"/>
                  </a:schemeClr>
                </a:gs>
                <a:gs pos="12000">
                  <a:schemeClr val="bg2">
                    <a:lumMod val="25000"/>
                  </a:schemeClr>
                </a:gs>
                <a:gs pos="81000">
                  <a:schemeClr val="bg2">
                    <a:lumMod val="75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 rad="101600">
                <a:schemeClr val="accent2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2.9596744358120607E-3"/>
                  <c:y val="-2.1750951604132679E-3"/>
                </c:manualLayout>
              </c:layout>
              <c:showVal val="1"/>
            </c:dLbl>
            <c:dLbl>
              <c:idx val="1"/>
              <c:layout>
                <c:manualLayout>
                  <c:x val="1.4798372179060304E-3"/>
                  <c:y val="-2.175095160413267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0"/>
                  <c:y val="8.7003806416530716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9596744358120607E-3"/>
                  <c:y val="1.0875475802066525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9662292213472252E-3"/>
                  <c:y val="8.7003585336146716E-3"/>
                </c:manualLayout>
              </c:layout>
              <c:dLblPos val="outEnd"/>
              <c:showVal val="1"/>
            </c:dLbl>
            <c:txPr>
              <a:bodyPr rot="-5400000" vert="horz"/>
              <a:lstStyle/>
              <a:p>
                <a:pPr>
                  <a:defRPr sz="18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'!$T$537:$X$537</c:f>
            </c:multiLvlStrRef>
          </c:cat>
          <c:val>
            <c:numRef>
              <c:f>'Datos '!$T$539:$X$539</c:f>
            </c:numRef>
          </c:val>
        </c:ser>
        <c:ser>
          <c:idx val="3"/>
          <c:order val="2"/>
          <c:tx>
            <c:strRef>
              <c:f>'Datos '!$I$540:$Q$540</c:f>
              <c:strCache>
                <c:ptCount val="1"/>
                <c:pt idx="0">
                  <c:v>Fondos Sectoriales </c:v>
                </c:pt>
              </c:strCache>
            </c:strRef>
          </c:tx>
          <c:spPr>
            <a:gradFill>
              <a:gsLst>
                <a:gs pos="0">
                  <a:srgbClr val="003399"/>
                </a:gs>
                <a:gs pos="12000">
                  <a:srgbClr val="336699"/>
                </a:gs>
                <a:gs pos="81000">
                  <a:schemeClr val="accent2">
                    <a:lumMod val="60000"/>
                    <a:lumOff val="4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1.4798372179060304E-3"/>
                  <c:y val="4.3501903208265384E-3"/>
                </c:manualLayout>
              </c:layout>
              <c:showVal val="1"/>
            </c:dLbl>
            <c:dLbl>
              <c:idx val="1"/>
              <c:layout>
                <c:manualLayout>
                  <c:x val="1.0852014234583581E-16"/>
                  <c:y val="-4.3503615881620534E-3"/>
                </c:manualLayout>
              </c:layout>
              <c:showVal val="1"/>
            </c:dLbl>
            <c:dLbl>
              <c:idx val="2"/>
              <c:layout>
                <c:manualLayout>
                  <c:x val="-1.4798372179060304E-3"/>
                  <c:y val="1.0875475802066525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0"/>
                  <c:y val="1.3050570962479609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9645960921551536E-3"/>
                  <c:y val="8.7003585336146716E-3"/>
                </c:manualLayout>
              </c:layout>
              <c:dLblPos val="outEnd"/>
              <c:showVal val="1"/>
            </c:dLbl>
            <c:txPr>
              <a:bodyPr rot="-5400000" vert="horz"/>
              <a:lstStyle/>
              <a:p>
                <a:pPr>
                  <a:defRPr sz="18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'!$T$537:$X$537</c:f>
            </c:multiLvlStrRef>
          </c:cat>
          <c:val>
            <c:numRef>
              <c:f>'Datos '!$T$540:$X$540</c:f>
            </c:numRef>
          </c:val>
        </c:ser>
        <c:ser>
          <c:idx val="1"/>
          <c:order val="3"/>
          <c:tx>
            <c:strRef>
              <c:f>'Datos '!$I$541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C00000"/>
                </a:gs>
                <a:gs pos="12000">
                  <a:srgbClr val="CC0000"/>
                </a:gs>
                <a:gs pos="48000">
                  <a:srgbClr val="FF0000"/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 rad="101600">
                <a:schemeClr val="accent6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1.4798372179060304E-3"/>
                  <c:y val="4.3501903208265384E-3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6.5251142139043589E-3"/>
                </c:manualLayout>
              </c:layout>
              <c:showVal val="1"/>
            </c:dLbl>
            <c:txPr>
              <a:bodyPr rot="-5400000" vert="horz"/>
              <a:lstStyle/>
              <a:p>
                <a:pPr>
                  <a:defRPr sz="1800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'!$T$537:$X$537</c:f>
            </c:multiLvlStrRef>
          </c:cat>
          <c:val>
            <c:numRef>
              <c:f>'Datos '!$T$541:$X$541</c:f>
            </c:numRef>
          </c:val>
        </c:ser>
        <c:dLbls>
          <c:showVal val="1"/>
        </c:dLbls>
        <c:axId val="129141376"/>
        <c:axId val="129040768"/>
      </c:barChart>
      <c:catAx>
        <c:axId val="12914137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i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29040768"/>
        <c:crosses val="autoZero"/>
        <c:lblAlgn val="ctr"/>
        <c:lblOffset val="100"/>
        <c:tickLblSkip val="1"/>
        <c:tickMarkSkip val="1"/>
      </c:catAx>
      <c:valAx>
        <c:axId val="12904076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s-MX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Miles de $ </a:t>
                </a:r>
              </a:p>
            </c:rich>
          </c:tx>
          <c:layout>
            <c:manualLayout>
              <c:xMode val="edge"/>
              <c:yMode val="edge"/>
              <c:x val="0"/>
              <c:y val="0.34420880913539981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i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29141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995930447651523E-4"/>
          <c:y val="1.2506797172376278E-2"/>
          <c:w val="0.98900108074725013"/>
          <c:h val="0.15276292747256676"/>
        </c:manualLayout>
      </c:layout>
      <c:spPr>
        <a:noFill/>
        <a:ln w="25400">
          <a:noFill/>
        </a:ln>
      </c:spPr>
      <c:txPr>
        <a:bodyPr/>
        <a:lstStyle/>
        <a:p>
          <a:pPr>
            <a:defRPr>
              <a:solidFill>
                <a:schemeClr val="tx1">
                  <a:lumMod val="75000"/>
                  <a:lumOff val="25000"/>
                </a:schemeClr>
              </a:solidFill>
            </a:defRPr>
          </a:pPr>
          <a:endParaRPr lang="es-MX"/>
        </a:p>
      </c:txPr>
    </c:legend>
    <c:plotVisOnly val="1"/>
    <c:dispBlanksAs val="gap"/>
  </c:chart>
  <c:spPr>
    <a:gradFill>
      <a:gsLst>
        <a:gs pos="0">
          <a:schemeClr val="accent5">
            <a:lumMod val="75000"/>
          </a:schemeClr>
        </a:gs>
        <a:gs pos="12000">
          <a:schemeClr val="accent5">
            <a:lumMod val="60000"/>
            <a:lumOff val="40000"/>
          </a:schemeClr>
        </a:gs>
        <a:gs pos="48000">
          <a:schemeClr val="accent5">
            <a:lumMod val="20000"/>
            <a:lumOff val="8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  <a:ln w="9525">
      <a:noFill/>
    </a:ln>
  </c:spPr>
  <c:txPr>
    <a:bodyPr/>
    <a:lstStyle/>
    <a:p>
      <a:pPr>
        <a:defRPr sz="2000" b="1" i="0" u="none" strike="noStrike" baseline="0">
          <a:solidFill>
            <a:srgbClr val="00008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Pr>
        <a:bodyPr/>
        <a:lstStyle/>
        <a:p>
          <a:pPr>
            <a:defRPr sz="240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title>
    <c:plotArea>
      <c:layout>
        <c:manualLayout>
          <c:layoutTarget val="inner"/>
          <c:xMode val="edge"/>
          <c:yMode val="edge"/>
          <c:x val="0.22419533851276668"/>
          <c:y val="0.17455138662316491"/>
          <c:w val="0.55937846836848915"/>
          <c:h val="0.82218597063621535"/>
        </c:manualLayout>
      </c:layout>
      <c:pieChart>
        <c:varyColors val="1"/>
        <c:ser>
          <c:idx val="0"/>
          <c:order val="0"/>
          <c:tx>
            <c:strRef>
              <c:f>'Datos '!$U$310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008000"/>
            </a:solidFill>
            <a:ln w="38100">
              <a:solidFill>
                <a:srgbClr val="00FF00"/>
              </a:solidFill>
              <a:prstDash val="solid"/>
            </a:ln>
          </c:spPr>
          <c:explosion val="2"/>
          <c:dLbls>
            <c:dLbl>
              <c:idx val="0"/>
              <c:layout>
                <c:manualLayout>
                  <c:x val="-0.13574791497344746"/>
                  <c:y val="0.1373425303892479"/>
                </c:manualLayout>
              </c:layout>
              <c:dLblPos val="bestFit"/>
              <c:showVal val="1"/>
            </c:dLbl>
            <c:dLbl>
              <c:idx val="1"/>
              <c:layout>
                <c:manualLayout>
                  <c:x val="-3.7659992833859783E-2"/>
                  <c:y val="-0.22566612289287649"/>
                </c:manualLayout>
              </c:layout>
              <c:dLblPos val="bestFit"/>
              <c:showVal val="1"/>
            </c:dLbl>
            <c:dLbl>
              <c:idx val="2"/>
              <c:layout>
                <c:manualLayout>
                  <c:x val="0.16715367293849637"/>
                  <c:y val="0.11155463642085521"/>
                </c:manualLayout>
              </c:layout>
              <c:dLblPos val="bestFit"/>
              <c:showVal val="1"/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0" b="1" i="0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Val val="1"/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0" b="1" i="0" u="none" strike="noStrike" baseline="0">
                      <a:solidFill>
                        <a:srgbClr val="333399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bestFit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  <c:showLeaderLines val="1"/>
          </c:dLbls>
          <c:cat>
            <c:strRef>
              <c:f>'Datos '!$I$311:$I$313</c:f>
              <c:strCache>
                <c:ptCount val="3"/>
                <c:pt idx="0">
                  <c:v>Sector Académico</c:v>
                </c:pt>
                <c:pt idx="1">
                  <c:v>Sector Productivo</c:v>
                </c:pt>
                <c:pt idx="2">
                  <c:v>Sector Público</c:v>
                </c:pt>
              </c:strCache>
            </c:strRef>
          </c:cat>
          <c:val>
            <c:numRef>
              <c:f>'Datos '!$U$311:$U$313</c:f>
              <c:numCache>
                <c:formatCode>General</c:formatCode>
                <c:ptCount val="3"/>
                <c:pt idx="0">
                  <c:v>34</c:v>
                </c:pt>
                <c:pt idx="1">
                  <c:v>46</c:v>
                </c:pt>
                <c:pt idx="2">
                  <c:v>43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5538290788013319E-2"/>
          <c:y val="0"/>
          <c:w val="0.97669256381798042"/>
          <c:h val="0.23491027732463296"/>
        </c:manualLayout>
      </c:layout>
      <c:spPr>
        <a:noFill/>
        <a:ln w="25400">
          <a:noFill/>
        </a:ln>
      </c:spPr>
      <c:txPr>
        <a:bodyPr/>
        <a:lstStyle/>
        <a:p>
          <a:pPr>
            <a:defRPr sz="1105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zero"/>
  </c:chart>
  <c:spPr>
    <a:noFill/>
    <a:ln w="9525">
      <a:noFill/>
    </a:ln>
  </c:spPr>
  <c:txPr>
    <a:bodyPr/>
    <a:lstStyle/>
    <a:p>
      <a:pPr>
        <a:defRPr sz="20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4539400665926749"/>
          <c:y val="0.17455138662316491"/>
          <c:w val="0.74250832408435052"/>
          <c:h val="0.61663947797717"/>
        </c:manualLayout>
      </c:layout>
      <c:barChart>
        <c:barDir val="col"/>
        <c:grouping val="clustered"/>
        <c:ser>
          <c:idx val="1"/>
          <c:order val="0"/>
          <c:tx>
            <c:strRef>
              <c:f>'Datos '!$I$365</c:f>
              <c:strCache>
                <c:ptCount val="1"/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1.25844424829816E-4"/>
                  <c:y val="5.884625759463597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9.6131157856112694E-5"/>
                  <c:y val="6.5974061562043801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8806604501852513E-4"/>
                  <c:y val="7.3392163663065779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6796735036311826E-3"/>
                  <c:y val="7.8687578408327019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1976165298982471E-3"/>
                  <c:y val="5.6407924539612124E-2"/>
                </c:manualLayout>
              </c:layout>
              <c:dLblPos val="outEnd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'!$Q$366:$U$366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'!$Q$367:$U$367</c:f>
              <c:numCache>
                <c:formatCode>#,##0</c:formatCode>
                <c:ptCount val="5"/>
                <c:pt idx="0">
                  <c:v>10500.566579999999</c:v>
                </c:pt>
                <c:pt idx="1">
                  <c:v>12664.387640000001</c:v>
                </c:pt>
                <c:pt idx="2">
                  <c:v>14165.682290000001</c:v>
                </c:pt>
                <c:pt idx="3" formatCode="_-&quot;$&quot;* #,##0_-;\-&quot;$&quot;* #,##0_-;_-&quot;$&quot;* &quot;-&quot;??_-;_-@_-">
                  <c:v>17923.034820000001</c:v>
                </c:pt>
                <c:pt idx="4" formatCode="_-&quot;$&quot;* #,##0_-;\-&quot;$&quot;* #,##0_-;_-&quot;$&quot;* &quot;-&quot;??_-;_-@_-">
                  <c:v>28143.029790000001</c:v>
                </c:pt>
              </c:numCache>
            </c:numRef>
          </c:val>
        </c:ser>
        <c:dLbls>
          <c:showVal val="1"/>
        </c:dLbls>
        <c:axId val="48271744"/>
        <c:axId val="48273280"/>
      </c:barChart>
      <c:lineChart>
        <c:grouping val="standard"/>
        <c:ser>
          <c:idx val="2"/>
          <c:order val="1"/>
          <c:tx>
            <c:strRef>
              <c:f>'Datos '!$I$370</c:f>
              <c:strCache>
                <c:ptCount val="1"/>
                <c:pt idx="0">
                  <c:v>Ingresos por Investigador (miles $)</c:v>
                </c:pt>
              </c:strCache>
            </c:strRef>
          </c:tx>
          <c:spPr>
            <a:ln w="38100">
              <a:solidFill>
                <a:srgbClr val="3333CC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33CC"/>
              </a:solidFill>
              <a:ln>
                <a:solidFill>
                  <a:srgbClr val="3333CC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layout>
                <c:manualLayout>
                  <c:x val="-3.5035204395233055E-2"/>
                  <c:y val="-5.898566920570491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4813228812547142E-2"/>
                  <c:y val="-5.591073546475536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7920886970149829E-2"/>
                  <c:y val="-6.380170667899788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8.6533539578363045E-2"/>
                  <c:y val="-2.507148270414000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0707204884628521E-3"/>
                  <c:y val="3.5534889297075996E-2"/>
                </c:manualLayout>
              </c:layout>
              <c:dLblPos val="r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'!$Q$366:$U$366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'!$Q$528:$U$528</c:f>
            </c:numRef>
          </c:val>
        </c:ser>
        <c:dLbls>
          <c:showVal val="1"/>
        </c:dLbls>
        <c:marker val="1"/>
        <c:axId val="49029120"/>
        <c:axId val="49030656"/>
      </c:lineChart>
      <c:catAx>
        <c:axId val="4827174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8273280"/>
        <c:crosses val="autoZero"/>
        <c:lblAlgn val="ctr"/>
        <c:lblOffset val="100"/>
        <c:tickLblSkip val="1"/>
        <c:tickMarkSkip val="1"/>
      </c:catAx>
      <c:valAx>
        <c:axId val="4827328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Miles de $ </a:t>
                </a:r>
              </a:p>
            </c:rich>
          </c:tx>
          <c:layout>
            <c:manualLayout>
              <c:xMode val="edge"/>
              <c:yMode val="edge"/>
              <c:x val="0"/>
              <c:y val="0.37520391517128882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8271744"/>
        <c:crosses val="autoZero"/>
        <c:crossBetween val="between"/>
      </c:valAx>
      <c:catAx>
        <c:axId val="49029120"/>
        <c:scaling>
          <c:orientation val="minMax"/>
        </c:scaling>
        <c:delete val="1"/>
        <c:axPos val="b"/>
        <c:numFmt formatCode="General" sourceLinked="1"/>
        <c:tickLblPos val="none"/>
        <c:crossAx val="49030656"/>
        <c:crosses val="autoZero"/>
        <c:lblAlgn val="ctr"/>
        <c:lblOffset val="100"/>
      </c:catAx>
      <c:valAx>
        <c:axId val="49030656"/>
        <c:scaling>
          <c:orientation val="minMax"/>
        </c:scaling>
        <c:axPos val="r"/>
        <c:title>
          <c:tx>
            <c:rich>
              <a:bodyPr rot="5400000" vert="horz"/>
              <a:lstStyle/>
              <a:p>
                <a:pPr algn="ctr">
                  <a:defRPr sz="1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Miles de $ </a:t>
                </a:r>
              </a:p>
            </c:rich>
          </c:tx>
          <c:layout>
            <c:manualLayout>
              <c:xMode val="edge"/>
              <c:yMode val="edge"/>
              <c:x val="0.95227524972253053"/>
              <c:y val="0.38009787928222566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02912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7713651498336786E-2"/>
          <c:y val="0.88907014681892338"/>
          <c:w val="0.86903440621532402"/>
          <c:h val="0.11092985318107661"/>
        </c:manualLayout>
      </c:layout>
      <c:spPr>
        <a:noFill/>
        <a:ln w="25400">
          <a:noFill/>
        </a:ln>
      </c:spPr>
      <c:txPr>
        <a:bodyPr/>
        <a:lstStyle/>
        <a:p>
          <a:pPr>
            <a:defRPr sz="1105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461339252682205"/>
          <c:y val="8.3197389885807563E-2"/>
          <c:w val="0.71846096929337777"/>
          <c:h val="0.62805872756933223"/>
        </c:manualLayout>
      </c:layout>
      <c:barChart>
        <c:barDir val="col"/>
        <c:grouping val="clustered"/>
        <c:ser>
          <c:idx val="1"/>
          <c:order val="0"/>
          <c:tx>
            <c:strRef>
              <c:f>'Datos '!$I$131</c:f>
              <c:strCache>
                <c:ptCount val="1"/>
                <c:pt idx="0">
                  <c:v>Maestría en Ciencia de Materiales</c:v>
                </c:pt>
              </c:strCache>
            </c:strRef>
          </c:tx>
          <c:spPr>
            <a:gradFill flip="none" rotWithShape="1">
              <a:gsLst>
                <a:gs pos="100000">
                  <a:srgbClr val="FFF39D">
                    <a:lumMod val="75000"/>
                  </a:srgbClr>
                </a:gs>
                <a:gs pos="45000">
                  <a:srgbClr val="F5CD2D">
                    <a:lumMod val="60000"/>
                    <a:lumOff val="40000"/>
                  </a:srgbClr>
                </a:gs>
                <a:gs pos="70000">
                  <a:srgbClr val="F5CD2D">
                    <a:lumMod val="75000"/>
                  </a:srgbClr>
                </a:gs>
              </a:gsLst>
              <a:path path="circle">
                <a:fillToRect l="100000" t="100000"/>
              </a:path>
              <a:tileRect r="-100000" b="-100000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2.4369539823060407E-3"/>
                  <c:y val="8.640608341575548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1886472015637704E-3"/>
                  <c:y val="9.048395867319192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3.3248563130496038E-3"/>
                  <c:y val="1.097875000535212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6.9214433656394016E-5"/>
                  <c:y val="1.243606376282907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4.5827179482697848E-3"/>
                  <c:y val="7.5258292550299073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336699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'!$T$130:$X$130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'!$T$131:$X$131</c:f>
              <c:numCache>
                <c:formatCode>General</c:formatCode>
                <c:ptCount val="5"/>
                <c:pt idx="0">
                  <c:v>43</c:v>
                </c:pt>
                <c:pt idx="1">
                  <c:v>36</c:v>
                </c:pt>
                <c:pt idx="2">
                  <c:v>70</c:v>
                </c:pt>
                <c:pt idx="3">
                  <c:v>70</c:v>
                </c:pt>
                <c:pt idx="4">
                  <c:v>74</c:v>
                </c:pt>
              </c:numCache>
            </c:numRef>
          </c:val>
        </c:ser>
        <c:ser>
          <c:idx val="0"/>
          <c:order val="1"/>
          <c:tx>
            <c:strRef>
              <c:f>'Datos '!$I$132</c:f>
              <c:strCache>
                <c:ptCount val="1"/>
                <c:pt idx="0">
                  <c:v>Doctorado en Ciencia de Materiales</c:v>
                </c:pt>
              </c:strCache>
            </c:strRef>
          </c:tx>
          <c:spPr>
            <a:gradFill flip="none" rotWithShape="1">
              <a:gsLst>
                <a:gs pos="38000">
                  <a:schemeClr val="tx2">
                    <a:lumMod val="20000"/>
                    <a:lumOff val="80000"/>
                  </a:schemeClr>
                </a:gs>
                <a:gs pos="100000">
                  <a:srgbClr val="C00000"/>
                </a:gs>
                <a:gs pos="98000">
                  <a:srgbClr val="B32C16">
                    <a:lumMod val="75000"/>
                  </a:srgbClr>
                </a:gs>
              </a:gsLst>
              <a:path path="rect">
                <a:fillToRect l="100000" t="100000"/>
              </a:path>
              <a:tileRect r="-100000" b="-100000"/>
            </a:gradFill>
            <a:ln w="25400">
              <a:noFill/>
            </a:ln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582112030668881E-3"/>
                  <c:y val="-6.220772158781951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4458097010902815E-4"/>
                  <c:y val="-1.294095986778172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7.3956904110627716E-4"/>
                  <c:y val="-1.7183251767264956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0362356203809141E-3"/>
                  <c:y val="-7.966328841847442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7373492852795092E-3"/>
                  <c:y val="2.9961507666354495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336699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'!$T$130:$X$130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'!$T$132:$X$132</c:f>
              <c:numCache>
                <c:formatCode>General</c:formatCode>
                <c:ptCount val="5"/>
                <c:pt idx="0">
                  <c:v>155</c:v>
                </c:pt>
                <c:pt idx="1">
                  <c:v>159</c:v>
                </c:pt>
                <c:pt idx="2">
                  <c:v>158</c:v>
                </c:pt>
                <c:pt idx="3">
                  <c:v>138</c:v>
                </c:pt>
                <c:pt idx="4">
                  <c:v>113</c:v>
                </c:pt>
              </c:numCache>
            </c:numRef>
          </c:val>
        </c:ser>
        <c:ser>
          <c:idx val="5"/>
          <c:order val="2"/>
          <c:tx>
            <c:strRef>
              <c:f>'Datos '!$I$133</c:f>
              <c:strCache>
                <c:ptCount val="1"/>
                <c:pt idx="0">
                  <c:v>Maestría en Ciencia y Tecnología Ambiental</c:v>
                </c:pt>
              </c:strCache>
            </c:strRef>
          </c:tx>
          <c:spPr>
            <a:gradFill flip="none" rotWithShape="1">
              <a:gsLst>
                <a:gs pos="79000">
                  <a:srgbClr val="008080"/>
                </a:gs>
                <a:gs pos="13000">
                  <a:srgbClr val="7598D9">
                    <a:lumMod val="20000"/>
                    <a:lumOff val="80000"/>
                  </a:srgbClr>
                </a:gs>
                <a:gs pos="70000">
                  <a:srgbClr val="0099CC"/>
                </a:gs>
              </a:gsLst>
              <a:path path="circle">
                <a:fillToRect l="100000" t="100000"/>
              </a:path>
              <a:tileRect r="-100000" b="-100000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1.3876678289797817E-3"/>
                  <c:y val="1.2648263991470876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4616596898750587E-3"/>
                  <c:y val="1.5508428493746685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905610855246837E-3"/>
                  <c:y val="9.1950007064777704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8298682420524702E-3"/>
                  <c:y val="1.3790103317020392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9.0607985877461149E-4"/>
                  <c:y val="8.3686358128564151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336699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'!$T$130:$X$130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'!$T$133:$X$133</c:f>
              <c:numCache>
                <c:formatCode>General</c:formatCode>
                <c:ptCount val="5"/>
                <c:pt idx="0">
                  <c:v>24</c:v>
                </c:pt>
                <c:pt idx="1">
                  <c:v>31</c:v>
                </c:pt>
                <c:pt idx="2">
                  <c:v>32</c:v>
                </c:pt>
                <c:pt idx="3">
                  <c:v>36</c:v>
                </c:pt>
                <c:pt idx="4">
                  <c:v>30</c:v>
                </c:pt>
              </c:numCache>
            </c:numRef>
          </c:val>
        </c:ser>
        <c:ser>
          <c:idx val="6"/>
          <c:order val="3"/>
          <c:tx>
            <c:strRef>
              <c:f>'Datos '!$I$134</c:f>
              <c:strCache>
                <c:ptCount val="1"/>
                <c:pt idx="0">
                  <c:v>Doctorado en Ciencia y Tecnología Ambiental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5.7963009895684071E-3"/>
                  <c:y val="9.7553874281213985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5.4287886600190517E-4"/>
                  <c:y val="1.24578147144331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2088056140596188E-3"/>
                  <c:y val="1.2757018749491551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7.1498276921823497E-4"/>
                  <c:y val="8.249091212701106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329753175969541E-3"/>
                  <c:y val="5.5139518653154465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336699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'!$T$130:$X$130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'!$T$134:$X$134</c:f>
              <c:numCache>
                <c:formatCode>General</c:formatCode>
                <c:ptCount val="5"/>
                <c:pt idx="0">
                  <c:v>13</c:v>
                </c:pt>
                <c:pt idx="1">
                  <c:v>6</c:v>
                </c:pt>
                <c:pt idx="2">
                  <c:v>7</c:v>
                </c:pt>
                <c:pt idx="3">
                  <c:v>16</c:v>
                </c:pt>
                <c:pt idx="4">
                  <c:v>20</c:v>
                </c:pt>
              </c:numCache>
            </c:numRef>
          </c:val>
        </c:ser>
        <c:gapWidth val="63"/>
        <c:overlap val="-3"/>
        <c:axId val="49309184"/>
        <c:axId val="49310720"/>
      </c:barChart>
      <c:lineChart>
        <c:grouping val="standard"/>
        <c:ser>
          <c:idx val="2"/>
          <c:order val="4"/>
          <c:tx>
            <c:strRef>
              <c:f>'Datos '!$I$138</c:f>
              <c:strCache>
                <c:ptCount val="1"/>
                <c:pt idx="0">
                  <c:v>Total de alumnos matriculados</c:v>
                </c:pt>
              </c:strCache>
            </c:strRef>
          </c:tx>
          <c:spPr>
            <a:ln>
              <a:solidFill>
                <a:srgbClr val="000066"/>
              </a:solidFill>
            </a:ln>
          </c:spPr>
          <c:marker>
            <c:symbol val="circle"/>
            <c:size val="7"/>
            <c:spPr>
              <a:solidFill>
                <a:srgbClr val="000066"/>
              </a:solidFill>
            </c:spPr>
          </c:marker>
          <c:dLbls>
            <c:dLbl>
              <c:idx val="0"/>
              <c:layout>
                <c:manualLayout>
                  <c:x val="-3.4628190899001113E-2"/>
                  <c:y val="-2.422507953226890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4702182759896415E-2"/>
                  <c:y val="-3.8885220913454456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2556418793932666E-2"/>
                  <c:y val="-3.325720500271885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3751387347391788E-2"/>
                  <c:y val="-3.582381729200664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0865704772475256E-2"/>
                  <c:y val="-3.3262685557453771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0033CC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'!$R$130:$V$130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'Datos '!$T$138:$X$138</c:f>
              <c:numCache>
                <c:formatCode>#,##0</c:formatCode>
                <c:ptCount val="5"/>
                <c:pt idx="0">
                  <c:v>268</c:v>
                </c:pt>
                <c:pt idx="1">
                  <c:v>267</c:v>
                </c:pt>
                <c:pt idx="2">
                  <c:v>272</c:v>
                </c:pt>
                <c:pt idx="3">
                  <c:v>260</c:v>
                </c:pt>
                <c:pt idx="4">
                  <c:v>239</c:v>
                </c:pt>
              </c:numCache>
            </c:numRef>
          </c:val>
        </c:ser>
        <c:marker val="1"/>
        <c:axId val="49309184"/>
        <c:axId val="49310720"/>
      </c:lineChart>
      <c:lineChart>
        <c:grouping val="standard"/>
        <c:ser>
          <c:idx val="3"/>
          <c:order val="5"/>
          <c:tx>
            <c:strRef>
              <c:f>'Datos '!$I$141</c:f>
              <c:strCache>
                <c:ptCount val="1"/>
                <c:pt idx="0">
                  <c:v>Índice: alumnos por investigador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x"/>
            <c:size val="9"/>
            <c:spPr>
              <a:ln>
                <a:solidFill>
                  <a:srgbClr val="C00000"/>
                </a:solidFill>
              </a:ln>
            </c:spPr>
          </c:marker>
          <c:dLbls>
            <c:dLbl>
              <c:idx val="0"/>
              <c:layout>
                <c:manualLayout>
                  <c:x val="-2.6859045504994523E-2"/>
                  <c:y val="3.1127666953539447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6921938586755992E-2"/>
                  <c:y val="3.110968388331561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1076581576026652E-2"/>
                  <c:y val="2.618660432535655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8560858305586367E-2"/>
                  <c:y val="2.5163110728614137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2334443211246781E-2"/>
                  <c:y val="2.9509019366054011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'Datos '!$T$130:$X$130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'!$T$141:$X$141</c:f>
              <c:numCache>
                <c:formatCode>#,##0.0</c:formatCode>
                <c:ptCount val="5"/>
                <c:pt idx="0">
                  <c:v>6.0909090909090908</c:v>
                </c:pt>
                <c:pt idx="1">
                  <c:v>5.5625</c:v>
                </c:pt>
                <c:pt idx="2">
                  <c:v>5.5510204081632653</c:v>
                </c:pt>
                <c:pt idx="3">
                  <c:v>5</c:v>
                </c:pt>
                <c:pt idx="4">
                  <c:v>4.5961538461538458</c:v>
                </c:pt>
              </c:numCache>
            </c:numRef>
          </c:val>
        </c:ser>
        <c:marker val="1"/>
        <c:axId val="49353856"/>
        <c:axId val="49355392"/>
      </c:lineChart>
      <c:catAx>
        <c:axId val="49309184"/>
        <c:scaling>
          <c:orientation val="minMax"/>
        </c:scaling>
        <c:axPos val="b"/>
        <c:numFmt formatCode="General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49310720"/>
        <c:crosses val="autoZero"/>
        <c:lblAlgn val="ctr"/>
        <c:lblOffset val="100"/>
        <c:tickLblSkip val="1"/>
        <c:tickMarkSkip val="1"/>
      </c:catAx>
      <c:valAx>
        <c:axId val="49310720"/>
        <c:scaling>
          <c:orientation val="minMax"/>
          <c:max val="28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 sz="1800" b="1" i="0" baseline="0">
                    <a:solidFill>
                      <a:srgbClr val="0000CC"/>
                    </a:solidFill>
                  </a:rPr>
                  <a:t>Alumnos Matriculados</a:t>
                </a:r>
              </a:p>
            </c:rich>
          </c:tx>
          <c:layout>
            <c:manualLayout>
              <c:xMode val="edge"/>
              <c:yMode val="edge"/>
              <c:x val="2.5157232704402552E-2"/>
              <c:y val="0.1593257205002719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49309184"/>
        <c:crosses val="autoZero"/>
        <c:crossBetween val="between"/>
        <c:majorUnit val="40"/>
      </c:valAx>
      <c:catAx>
        <c:axId val="49353856"/>
        <c:scaling>
          <c:orientation val="minMax"/>
        </c:scaling>
        <c:delete val="1"/>
        <c:axPos val="b"/>
        <c:numFmt formatCode="General" sourceLinked="1"/>
        <c:tickLblPos val="none"/>
        <c:crossAx val="49355392"/>
        <c:crosses val="autoZero"/>
        <c:lblAlgn val="ctr"/>
        <c:lblOffset val="100"/>
      </c:catAx>
      <c:valAx>
        <c:axId val="49355392"/>
        <c:scaling>
          <c:orientation val="minMax"/>
          <c:max val="7"/>
        </c:scaling>
        <c:axPos val="r"/>
        <c:numFmt formatCode="#,##0.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4935385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2490483958673289"/>
          <c:w val="1"/>
          <c:h val="0.17509516041326836"/>
        </c:manualLayout>
      </c:layout>
      <c:spPr>
        <a:noFill/>
        <a:ln w="25400">
          <a:noFill/>
        </a:ln>
      </c:spPr>
      <c:txPr>
        <a:bodyPr/>
        <a:lstStyle/>
        <a:p>
          <a:pPr>
            <a:defRPr sz="1600" b="0">
              <a:solidFill>
                <a:sysClr val="windowText" lastClr="000000"/>
              </a:solidFill>
            </a:defRPr>
          </a:pPr>
          <a:endParaRPr lang="es-MX"/>
        </a:p>
      </c:txPr>
    </c:legend>
    <c:plotVisOnly val="1"/>
    <c:dispBlanksAs val="gap"/>
  </c:chart>
  <c:spPr>
    <a:gradFill flip="none" rotWithShape="1">
      <a:gsLst>
        <a:gs pos="0">
          <a:srgbClr val="7598D9">
            <a:lumMod val="20000"/>
            <a:lumOff val="80000"/>
          </a:srgbClr>
        </a:gs>
        <a:gs pos="50000">
          <a:schemeClr val="bg1"/>
        </a:gs>
        <a:gs pos="100000">
          <a:srgbClr val="7598D9">
            <a:lumMod val="60000"/>
            <a:lumOff val="40000"/>
          </a:srgbClr>
        </a:gs>
      </a:gsLst>
      <a:path path="rect">
        <a:fillToRect l="50000" t="50000" r="50000" b="50000"/>
      </a:path>
      <a:tileRect/>
    </a:gradFill>
    <a:ln w="9525">
      <a:gradFill>
        <a:gsLst>
          <a:gs pos="0">
            <a:schemeClr val="accent1">
              <a:tint val="66000"/>
              <a:satMod val="160000"/>
            </a:schemeClr>
          </a:gs>
          <a:gs pos="50000">
            <a:schemeClr val="accent1">
              <a:tint val="44500"/>
              <a:satMod val="160000"/>
            </a:schemeClr>
          </a:gs>
          <a:gs pos="100000">
            <a:schemeClr val="accent1">
              <a:tint val="23500"/>
              <a:satMod val="160000"/>
            </a:schemeClr>
          </a:gs>
        </a:gsLst>
        <a:lin ang="5400000" scaled="0"/>
      </a:gradFill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800" b="1" i="0" u="none" strike="noStrike" baseline="0">
          <a:solidFill>
            <a:srgbClr val="3333CC"/>
          </a:solidFill>
          <a:latin typeface="+mn-lt"/>
          <a:ea typeface="Arial"/>
          <a:cs typeface="Arial"/>
        </a:defRPr>
      </a:pPr>
      <a:endParaRPr lang="es-MX"/>
    </a:p>
  </c:txPr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1764705882352942"/>
          <c:y val="3.9151712887438822E-2"/>
          <c:w val="0.78912319644839912"/>
          <c:h val="0.7862969004893966"/>
        </c:manualLayout>
      </c:layout>
      <c:barChart>
        <c:barDir val="col"/>
        <c:grouping val="clustered"/>
        <c:ser>
          <c:idx val="1"/>
          <c:order val="0"/>
          <c:tx>
            <c:strRef>
              <c:f>'Datos '!$I$365</c:f>
              <c:strCache>
                <c:ptCount val="1"/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6.9552349241582434E-4"/>
                  <c:y val="5.059459737190278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9237883832779753E-4"/>
                  <c:y val="4.863529905417618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0802811690713925E-3"/>
                  <c:y val="7.5837518678843821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8.5830558638550066E-4"/>
                  <c:y val="7.5420140182314105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6.3633000369952512E-4"/>
                  <c:y val="0.10654129897710612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'!$Q$366:$U$366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'!$Q$367:$U$367</c:f>
              <c:numCache>
                <c:formatCode>#,##0</c:formatCode>
                <c:ptCount val="5"/>
                <c:pt idx="0">
                  <c:v>10500.566579999999</c:v>
                </c:pt>
                <c:pt idx="1">
                  <c:v>12664.387640000001</c:v>
                </c:pt>
                <c:pt idx="2">
                  <c:v>14165.682290000001</c:v>
                </c:pt>
                <c:pt idx="3" formatCode="_-&quot;$&quot;* #,##0_-;\-&quot;$&quot;* #,##0_-;_-&quot;$&quot;* &quot;-&quot;??_-;_-@_-">
                  <c:v>17923.034820000001</c:v>
                </c:pt>
                <c:pt idx="4" formatCode="_-&quot;$&quot;* #,##0_-;\-&quot;$&quot;* #,##0_-;_-&quot;$&quot;* &quot;-&quot;??_-;_-@_-">
                  <c:v>28143.029790000001</c:v>
                </c:pt>
              </c:numCache>
            </c:numRef>
          </c:val>
        </c:ser>
        <c:dLbls>
          <c:showVal val="1"/>
        </c:dLbls>
        <c:axId val="49400448"/>
        <c:axId val="49422720"/>
      </c:barChart>
      <c:lineChart>
        <c:grouping val="standard"/>
        <c:ser>
          <c:idx val="2"/>
          <c:order val="1"/>
          <c:tx>
            <c:strRef>
              <c:f>'Datos '!$I$369</c:f>
              <c:strCache>
                <c:ptCount val="1"/>
                <c:pt idx="0">
                  <c:v>Ingresos por Persona (miles $)</c:v>
                </c:pt>
              </c:strCache>
            </c:strRef>
          </c:tx>
          <c:spPr>
            <a:ln w="38100">
              <a:solidFill>
                <a:srgbClr val="8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layout>
                <c:manualLayout>
                  <c:x val="-3.7476935804778649E-2"/>
                  <c:y val="-4.040915766442735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4369277647175692E-2"/>
                  <c:y val="-4.6017991633590924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4.0140642797008866E-2"/>
                  <c:y val="-4.075186360269397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3.1483595072258612E-2"/>
                  <c:y val="-4.4578660946338874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1705570654944656E-2"/>
                  <c:y val="-3.4361194247130203E-2"/>
                </c:manualLayout>
              </c:layout>
              <c:dLblPos val="r"/>
              <c:showVal val="1"/>
            </c:dLbl>
            <c:dLbl>
              <c:idx val="5"/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'!$Q$366:$U$366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'!$Q$370:$U$370</c:f>
              <c:numCache>
                <c:formatCode>#,##0.0</c:formatCode>
                <c:ptCount val="5"/>
                <c:pt idx="0">
                  <c:v>106.06632909090908</c:v>
                </c:pt>
                <c:pt idx="1">
                  <c:v>122.95521980582525</c:v>
                </c:pt>
                <c:pt idx="2">
                  <c:v>128.77892990909092</c:v>
                </c:pt>
                <c:pt idx="3">
                  <c:v>145.71573024390244</c:v>
                </c:pt>
                <c:pt idx="4">
                  <c:v>216.48484453846154</c:v>
                </c:pt>
              </c:numCache>
            </c:numRef>
          </c:val>
        </c:ser>
        <c:dLbls>
          <c:showVal val="1"/>
        </c:dLbls>
        <c:marker val="1"/>
        <c:axId val="49424640"/>
        <c:axId val="49426432"/>
      </c:lineChart>
      <c:catAx>
        <c:axId val="4940044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422720"/>
        <c:crosses val="autoZero"/>
        <c:lblAlgn val="ctr"/>
        <c:lblOffset val="100"/>
        <c:tickLblSkip val="1"/>
        <c:tickMarkSkip val="1"/>
      </c:catAx>
      <c:valAx>
        <c:axId val="4942272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Miles de $ </a:t>
                </a:r>
              </a:p>
            </c:rich>
          </c:tx>
          <c:layout>
            <c:manualLayout>
              <c:xMode val="edge"/>
              <c:yMode val="edge"/>
              <c:x val="0"/>
              <c:y val="0.34420880913539981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400448"/>
        <c:crosses val="autoZero"/>
        <c:crossBetween val="between"/>
      </c:valAx>
      <c:catAx>
        <c:axId val="49424640"/>
        <c:scaling>
          <c:orientation val="minMax"/>
        </c:scaling>
        <c:delete val="1"/>
        <c:axPos val="b"/>
        <c:numFmt formatCode="General" sourceLinked="1"/>
        <c:tickLblPos val="none"/>
        <c:crossAx val="49426432"/>
        <c:crosses val="autoZero"/>
        <c:lblAlgn val="ctr"/>
        <c:lblOffset val="100"/>
      </c:catAx>
      <c:valAx>
        <c:axId val="49426432"/>
        <c:scaling>
          <c:orientation val="minMax"/>
        </c:scaling>
        <c:axPos val="r"/>
        <c:title>
          <c:tx>
            <c:rich>
              <a:bodyPr rot="540000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Miles de $ </a:t>
                </a:r>
              </a:p>
            </c:rich>
          </c:tx>
          <c:layout>
            <c:manualLayout>
              <c:xMode val="edge"/>
              <c:yMode val="edge"/>
              <c:x val="0.96337402885682577"/>
              <c:y val="0.35236541598695542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424640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2.5527192008879453E-2"/>
          <c:y val="0.88254486133768351"/>
          <c:w val="0.86903440621532402"/>
          <c:h val="0.11092985318107661"/>
        </c:manualLayout>
      </c:layout>
      <c:spPr>
        <a:noFill/>
        <a:ln w="25400">
          <a:noFill/>
        </a:ln>
      </c:spPr>
      <c:txPr>
        <a:bodyPr/>
        <a:lstStyle/>
        <a:p>
          <a:pPr>
            <a:defRPr sz="8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1.9329387659566682E-2"/>
          <c:y val="0.2398741880112584"/>
          <c:w val="0.96962524796353966"/>
          <c:h val="0.70215493967956299"/>
        </c:manualLayout>
      </c:layout>
      <c:barChart>
        <c:barDir val="col"/>
        <c:grouping val="clustered"/>
        <c:ser>
          <c:idx val="0"/>
          <c:order val="0"/>
          <c:tx>
            <c:strRef>
              <c:f>'Datos '!$I$327</c:f>
              <c:strCache>
                <c:ptCount val="1"/>
                <c:pt idx="0">
                  <c:v>Industria Maquiladora de Exportación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 rot="60000"/>
                <a:lstStyle/>
                <a:p>
                  <a:pPr>
                    <a:defRPr sz="1800" b="1" i="0" u="none" strike="noStrike" baseline="0">
                      <a:solidFill>
                        <a:sysClr val="windowText" lastClr="000000"/>
                      </a:solidFill>
                      <a:latin typeface="Calibri" pitchFamily="34" charset="0"/>
                      <a:ea typeface="Calibri"/>
                      <a:cs typeface="Calibri"/>
                    </a:defRPr>
                  </a:pPr>
                  <a:endParaRPr lang="es-MX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ysClr val="windowText" lastClr="000000"/>
                    </a:solidFill>
                    <a:latin typeface="Calibri" pitchFamily="34" charset="0"/>
                    <a:ea typeface="Calibri"/>
                    <a:cs typeface="Calibri"/>
                  </a:defRPr>
                </a:pPr>
                <a:endParaRPr lang="es-MX"/>
              </a:p>
            </c:txPr>
            <c:showVal val="1"/>
          </c:dLbls>
          <c:cat>
            <c:strRef>
              <c:f>'Datos '!$T$326:$X$326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'!$T$327:$X$327</c:f>
              <c:numCache>
                <c:formatCode>General</c:formatCode>
                <c:ptCount val="5"/>
                <c:pt idx="0" formatCode="0">
                  <c:v>83</c:v>
                </c:pt>
                <c:pt idx="1">
                  <c:v>75</c:v>
                </c:pt>
                <c:pt idx="2" formatCode="#,##0">
                  <c:v>64</c:v>
                </c:pt>
                <c:pt idx="3" formatCode="#,##0">
                  <c:v>67</c:v>
                </c:pt>
                <c:pt idx="4" formatCode="#,##0">
                  <c:v>51</c:v>
                </c:pt>
              </c:numCache>
            </c:numRef>
          </c:val>
        </c:ser>
        <c:ser>
          <c:idx val="1"/>
          <c:order val="1"/>
          <c:tx>
            <c:strRef>
              <c:f>'Datos '!$I$328</c:f>
              <c:strCache>
                <c:ptCount val="1"/>
                <c:pt idx="0">
                  <c:v>Mediana y Gran Empresa Nacional</c:v>
                </c:pt>
              </c:strCache>
            </c:strRef>
          </c:tx>
          <c:spPr>
            <a:solidFill>
              <a:srgbClr val="00B05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800" b="1"/>
                </a:pPr>
                <a:endParaRPr lang="es-MX"/>
              </a:p>
            </c:txPr>
            <c:showVal val="1"/>
          </c:dLbls>
          <c:cat>
            <c:strRef>
              <c:f>'Datos '!$T$326:$X$326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'!$T$328:$X$328</c:f>
              <c:numCache>
                <c:formatCode>General</c:formatCode>
                <c:ptCount val="5"/>
                <c:pt idx="0" formatCode="0">
                  <c:v>76</c:v>
                </c:pt>
                <c:pt idx="1">
                  <c:v>80</c:v>
                </c:pt>
                <c:pt idx="2" formatCode="#,##0">
                  <c:v>110</c:v>
                </c:pt>
                <c:pt idx="3" formatCode="#,##0">
                  <c:v>114</c:v>
                </c:pt>
                <c:pt idx="4" formatCode="#,##0">
                  <c:v>54</c:v>
                </c:pt>
              </c:numCache>
            </c:numRef>
          </c:val>
        </c:ser>
        <c:ser>
          <c:idx val="2"/>
          <c:order val="2"/>
          <c:tx>
            <c:strRef>
              <c:f>'Datos '!$I$329</c:f>
              <c:strCache>
                <c:ptCount val="1"/>
                <c:pt idx="0">
                  <c:v>Micro y Pequeña Empresa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800" b="1"/>
                </a:pPr>
                <a:endParaRPr lang="es-MX"/>
              </a:p>
            </c:txPr>
            <c:showVal val="1"/>
          </c:dLbls>
          <c:cat>
            <c:strRef>
              <c:f>'Datos '!$T$326:$X$326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'!$T$329:$X$329</c:f>
              <c:numCache>
                <c:formatCode>General</c:formatCode>
                <c:ptCount val="5"/>
                <c:pt idx="0" formatCode="0">
                  <c:v>75</c:v>
                </c:pt>
                <c:pt idx="1">
                  <c:v>105</c:v>
                </c:pt>
                <c:pt idx="2" formatCode="#,##0">
                  <c:v>62</c:v>
                </c:pt>
                <c:pt idx="3" formatCode="#,##0">
                  <c:v>56</c:v>
                </c:pt>
                <c:pt idx="4" formatCode="#,##0">
                  <c:v>136</c:v>
                </c:pt>
              </c:numCache>
            </c:numRef>
          </c:val>
        </c:ser>
        <c:ser>
          <c:idx val="3"/>
          <c:order val="3"/>
          <c:tx>
            <c:strRef>
              <c:f>'Datos '!$I$330</c:f>
              <c:strCache>
                <c:ptCount val="1"/>
                <c:pt idx="0">
                  <c:v>Sector Público e Institucional</c:v>
                </c:pt>
              </c:strCache>
            </c:strRef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 sz="1800" b="1">
                    <a:latin typeface="+mn-lt"/>
                  </a:defRPr>
                </a:pPr>
                <a:endParaRPr lang="es-MX"/>
              </a:p>
            </c:txPr>
            <c:showVal val="1"/>
          </c:dLbls>
          <c:cat>
            <c:strRef>
              <c:f>'Datos '!$T$326:$X$326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'!$T$330:$X$330</c:f>
              <c:numCache>
                <c:formatCode>General</c:formatCode>
                <c:ptCount val="5"/>
                <c:pt idx="0" formatCode="0">
                  <c:v>24</c:v>
                </c:pt>
                <c:pt idx="1">
                  <c:v>19</c:v>
                </c:pt>
                <c:pt idx="2" formatCode="#,##0">
                  <c:v>49</c:v>
                </c:pt>
                <c:pt idx="3" formatCode="#,##0">
                  <c:v>53</c:v>
                </c:pt>
                <c:pt idx="4" formatCode="#,##0">
                  <c:v>62</c:v>
                </c:pt>
              </c:numCache>
            </c:numRef>
          </c:val>
        </c:ser>
        <c:dLbls>
          <c:showVal val="1"/>
        </c:dLbls>
        <c:gapWidth val="58"/>
        <c:overlap val="-5"/>
        <c:axId val="49584000"/>
        <c:axId val="49585536"/>
      </c:barChart>
      <c:lineChart>
        <c:grouping val="standard"/>
        <c:ser>
          <c:idx val="4"/>
          <c:order val="4"/>
          <c:tx>
            <c:strRef>
              <c:f>'Datos '!$I$331</c:f>
              <c:strCache>
                <c:ptCount val="1"/>
                <c:pt idx="0">
                  <c:v>TOTAL</c:v>
                </c:pt>
              </c:strCache>
            </c:strRef>
          </c:tx>
          <c:spPr>
            <a:ln w="47625">
              <a:solidFill>
                <a:schemeClr val="accent1">
                  <a:lumMod val="50000"/>
                </a:schemeClr>
              </a:solidFill>
            </a:ln>
          </c:spPr>
          <c:marker>
            <c:symbol val="x"/>
            <c:size val="9"/>
            <c:spPr>
              <a:solidFill>
                <a:schemeClr val="accent3">
                  <a:lumMod val="60000"/>
                  <a:lumOff val="40000"/>
                </a:schemeClr>
              </a:solidFill>
            </c:spPr>
          </c:marker>
          <c:dLbls>
            <c:dLbl>
              <c:idx val="0"/>
              <c:layout>
                <c:manualLayout>
                  <c:x val="-2.6232740395126217E-2"/>
                  <c:y val="4.0776697990044283E-2"/>
                </c:manualLayout>
              </c:layout>
              <c:showVal val="1"/>
            </c:dLbl>
            <c:dLbl>
              <c:idx val="1"/>
              <c:layout>
                <c:manualLayout>
                  <c:x val="-3.3136093130685669E-2"/>
                  <c:y val="4.5307442211160162E-2"/>
                </c:manualLayout>
              </c:layout>
              <c:showVal val="1"/>
            </c:dLbl>
            <c:dLbl>
              <c:idx val="2"/>
              <c:layout>
                <c:manualLayout>
                  <c:x val="-2.8994081489349982E-2"/>
                  <c:y val="3.6245953768928134E-2"/>
                </c:manualLayout>
              </c:layout>
              <c:showVal val="1"/>
            </c:dLbl>
            <c:dLbl>
              <c:idx val="3"/>
              <c:layout>
                <c:manualLayout>
                  <c:x val="-2.8994081489349982E-2"/>
                  <c:y val="3.3980581658370111E-2"/>
                </c:manualLayout>
              </c:layout>
              <c:showVal val="1"/>
            </c:dLbl>
            <c:dLbl>
              <c:idx val="4"/>
              <c:layout>
                <c:manualLayout>
                  <c:x val="-2.8994081489350076E-2"/>
                  <c:y val="3.8511325879486177E-2"/>
                </c:manualLayout>
              </c:layout>
              <c:showVal val="1"/>
            </c:dLbl>
            <c:txPr>
              <a:bodyPr/>
              <a:lstStyle/>
              <a:p>
                <a:pPr>
                  <a:defRPr sz="1800" b="1"/>
                </a:pPr>
                <a:endParaRPr lang="es-MX"/>
              </a:p>
            </c:txPr>
            <c:showVal val="1"/>
          </c:dLbls>
          <c:cat>
            <c:strRef>
              <c:f>'Datos '!$T$326:$X$326</c:f>
              <c:strCach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strCache>
            </c:strRef>
          </c:cat>
          <c:val>
            <c:numRef>
              <c:f>'Datos '!$T$331:$X$331</c:f>
              <c:numCache>
                <c:formatCode>#,##0</c:formatCode>
                <c:ptCount val="5"/>
                <c:pt idx="0">
                  <c:v>258</c:v>
                </c:pt>
                <c:pt idx="1">
                  <c:v>279</c:v>
                </c:pt>
                <c:pt idx="2">
                  <c:v>285</c:v>
                </c:pt>
                <c:pt idx="3">
                  <c:v>290</c:v>
                </c:pt>
                <c:pt idx="4">
                  <c:v>303</c:v>
                </c:pt>
              </c:numCache>
            </c:numRef>
          </c:val>
        </c:ser>
        <c:marker val="1"/>
        <c:axId val="49584000"/>
        <c:axId val="49585536"/>
      </c:lineChart>
      <c:catAx>
        <c:axId val="4958400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400" b="1"/>
            </a:pPr>
            <a:endParaRPr lang="es-MX"/>
          </a:p>
        </c:txPr>
        <c:crossAx val="49585536"/>
        <c:crosses val="autoZero"/>
        <c:auto val="1"/>
        <c:lblAlgn val="ctr"/>
        <c:lblOffset val="100"/>
      </c:catAx>
      <c:valAx>
        <c:axId val="49585536"/>
        <c:scaling>
          <c:orientation val="minMax"/>
        </c:scaling>
        <c:delete val="1"/>
        <c:axPos val="l"/>
        <c:numFmt formatCode="0" sourceLinked="1"/>
        <c:tickLblPos val="none"/>
        <c:crossAx val="4958400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spPr>
        <a:noFill/>
        <a:ln w="25400">
          <a:noFill/>
        </a:ln>
      </c:spPr>
      <c:txPr>
        <a:bodyPr/>
        <a:lstStyle/>
        <a:p>
          <a:pPr rtl="0">
            <a:defRPr sz="1800" b="1" i="0" u="none" strike="noStrike" baseline="0">
              <a:solidFill>
                <a:schemeClr val="bg1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legend>
    <c:plotVisOnly val="1"/>
    <c:dispBlanksAs val="zero"/>
  </c:chart>
  <c:spPr>
    <a:gradFill>
      <a:gsLst>
        <a:gs pos="4000">
          <a:srgbClr val="003399"/>
        </a:gs>
        <a:gs pos="22000">
          <a:srgbClr val="AFBBD6"/>
        </a:gs>
        <a:gs pos="15000">
          <a:schemeClr val="accent5">
            <a:lumMod val="75000"/>
          </a:schemeClr>
        </a:gs>
        <a:gs pos="48000">
          <a:schemeClr val="accent5">
            <a:lumMod val="20000"/>
            <a:lumOff val="80000"/>
          </a:schemeClr>
        </a:gs>
        <a:gs pos="100000">
          <a:schemeClr val="accent5">
            <a:lumMod val="20000"/>
            <a:lumOff val="80000"/>
          </a:schemeClr>
        </a:gs>
      </a:gsLst>
      <a:lin ang="5400000" scaled="0"/>
    </a:gra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Pr>
        <a:bodyPr/>
        <a:lstStyle/>
        <a:p>
          <a:pPr>
            <a:defRPr sz="144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title>
    <c:plotArea>
      <c:layout>
        <c:manualLayout>
          <c:layoutTarget val="inner"/>
          <c:xMode val="edge"/>
          <c:yMode val="edge"/>
          <c:x val="8.4350721420643732E-2"/>
          <c:y val="0.19086460032626426"/>
          <c:w val="0.88679245283019825"/>
          <c:h val="0.47797716150082198"/>
        </c:manualLayout>
      </c:layout>
      <c:barChart>
        <c:barDir val="col"/>
        <c:grouping val="clustered"/>
        <c:ser>
          <c:idx val="1"/>
          <c:order val="0"/>
          <c:tx>
            <c:strRef>
              <c:f>'Datos '!$I$353</c:f>
              <c:strCache>
                <c:ptCount val="1"/>
                <c:pt idx="0">
                  <c:v>Citas Promedio por Investigador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2.8579501924080003E-3"/>
                  <c:y val="-1.148981173438160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5250450796869281E-3"/>
                  <c:y val="-1.2713345578947799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8024854273904225E-3"/>
                  <c:y val="-1.5568200793824101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3595858786242469E-3"/>
                  <c:y val="-1.0184754638133748E-2"/>
                </c:manualLayout>
              </c:layout>
              <c:dLblPos val="outEnd"/>
              <c:showVal val="1"/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FFFFFF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33CC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'!$P$352:$S$352</c:f>
              <c:numCache>
                <c:formatCode>General</c:formatCode>
                <c:ptCount val="4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</c:numCache>
            </c:numRef>
          </c:cat>
          <c:val>
            <c:numRef>
              <c:f>'Datos '!$P$353:$S$353</c:f>
              <c:numCache>
                <c:formatCode>#,##0</c:formatCode>
                <c:ptCount val="4"/>
                <c:pt idx="0">
                  <c:v>7</c:v>
                </c:pt>
                <c:pt idx="1">
                  <c:v>12</c:v>
                </c:pt>
                <c:pt idx="2">
                  <c:v>17</c:v>
                </c:pt>
                <c:pt idx="3">
                  <c:v>19</c:v>
                </c:pt>
              </c:numCache>
            </c:numRef>
          </c:val>
        </c:ser>
        <c:dLbls>
          <c:showVal val="1"/>
        </c:dLbls>
        <c:axId val="49517696"/>
        <c:axId val="49519232"/>
      </c:barChart>
      <c:catAx>
        <c:axId val="495176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519232"/>
        <c:crosses val="autoZero"/>
        <c:lblAlgn val="ctr"/>
        <c:lblOffset val="100"/>
        <c:tickLblSkip val="1"/>
        <c:tickMarkSkip val="1"/>
      </c:catAx>
      <c:valAx>
        <c:axId val="4951923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3333CC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Número de Citas Promedio por Investigador</a:t>
                </a:r>
              </a:p>
            </c:rich>
          </c:tx>
          <c:layout>
            <c:manualLayout>
              <c:xMode val="edge"/>
              <c:yMode val="edge"/>
              <c:x val="0"/>
              <c:y val="0.14845024469820756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CC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517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8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Proyectos</a:t>
            </a:r>
          </a:p>
        </c:rich>
      </c:tx>
      <c:layout>
        <c:manualLayout>
          <c:xMode val="edge"/>
          <c:yMode val="edge"/>
          <c:x val="0.4217536071032188"/>
          <c:y val="1.9575856443719685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6592674805772675E-2"/>
          <c:y val="2.9363784665579151E-2"/>
          <c:w val="0.8368479467258606"/>
          <c:h val="0.61827079934747164"/>
        </c:manualLayout>
      </c:layout>
      <c:barChart>
        <c:barDir val="col"/>
        <c:grouping val="clustered"/>
        <c:ser>
          <c:idx val="1"/>
          <c:order val="0"/>
          <c:tx>
            <c:strRef>
              <c:f>'Datos 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9207587952726841E-3"/>
                  <c:y val="0.6394779771615092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7.7021448900484133E-5"/>
                  <c:y val="0.6394779771615092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3647099606444841E-3"/>
                  <c:y val="0.63621533442089229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7.4294819695822903E-4"/>
                  <c:y val="0.6345840130505854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5.8890529915727851E-4"/>
                  <c:y val="0.6345840130505854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'!$Q$81:$U$81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'Datos '!$I$82</c:f>
              <c:strCache>
                <c:ptCount val="1"/>
                <c:pt idx="0">
                  <c:v>Fondo Institucional</c:v>
                </c:pt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1.8729845228836329E-3"/>
                  <c:y val="0.641109298531824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dLbl>
              <c:idx val="1"/>
              <c:layout>
                <c:manualLayout>
                  <c:x val="1.0644340933520838E-3"/>
                  <c:y val="3.698757883649540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dLbl>
              <c:idx val="2"/>
              <c:layout>
                <c:manualLayout>
                  <c:x val="3.5061655028971106E-3"/>
                  <c:y val="8.5753554867632528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0079177117289485E-3"/>
                  <c:y val="1.723805731461406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2298932944148355E-3"/>
                  <c:y val="4.0358976335135993E-2"/>
                </c:manualLayout>
              </c:layout>
              <c:dLblPos val="outEnd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'!$Q$81:$U$81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'!$Q$82:$U$82</c:f>
              <c:numCache>
                <c:formatCode>#,##0</c:formatCode>
                <c:ptCount val="5"/>
                <c:pt idx="1">
                  <c:v>4</c:v>
                </c:pt>
                <c:pt idx="2" formatCode="General">
                  <c:v>9</c:v>
                </c:pt>
                <c:pt idx="3" formatCode="General">
                  <c:v>21</c:v>
                </c:pt>
                <c:pt idx="4" formatCode="General">
                  <c:v>19</c:v>
                </c:pt>
              </c:numCache>
            </c:numRef>
          </c:val>
        </c:ser>
        <c:ser>
          <c:idx val="2"/>
          <c:order val="2"/>
          <c:tx>
            <c:strRef>
              <c:f>'Datos '!$I$83</c:f>
              <c:strCache>
                <c:ptCount val="1"/>
                <c:pt idx="0">
                  <c:v>Fondos Sect/Mixtos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1.3418744410555593E-3"/>
                  <c:y val="6.1012275586269623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0998569684894121E-3"/>
                  <c:y val="1.7417888016853133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2.0078011891133014E-3"/>
                  <c:y val="-2.9797091024307072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7858256064274048E-3"/>
                  <c:y val="2.3492740405818002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8756616299765786E-3"/>
                  <c:y val="5.9652412942673557E-3"/>
                </c:manualLayout>
              </c:layout>
              <c:dLblPos val="outEnd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'!$Q$81:$U$81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'!$Q$83:$U$83</c:f>
              <c:numCache>
                <c:formatCode>#,##0</c:formatCode>
                <c:ptCount val="5"/>
                <c:pt idx="0" formatCode="General">
                  <c:v>20</c:v>
                </c:pt>
                <c:pt idx="1">
                  <c:v>18</c:v>
                </c:pt>
                <c:pt idx="2" formatCode="General">
                  <c:v>34</c:v>
                </c:pt>
                <c:pt idx="3" formatCode="General">
                  <c:v>38</c:v>
                </c:pt>
                <c:pt idx="4" formatCode="General">
                  <c:v>45</c:v>
                </c:pt>
              </c:numCache>
            </c:numRef>
          </c:val>
        </c:ser>
        <c:ser>
          <c:idx val="3"/>
          <c:order val="3"/>
          <c:tx>
            <c:strRef>
              <c:f>'Datos '!$I$84</c:f>
              <c:strCache>
                <c:ptCount val="1"/>
                <c:pt idx="0">
                  <c:v>Vinculación 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4.1377180793577477E-4"/>
                  <c:y val="3.6688546068772442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6.357473906216716E-4"/>
                  <c:y val="5.9635800011132382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2.471910766980986E-3"/>
                  <c:y val="3.8401390690764543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3.0179357436015946E-5"/>
                  <c:y val="5.2648263991470906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1.9179622524982643E-4"/>
                  <c:y val="3.8156649668383606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'!$Q$81:$U$81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'!$Q$84:$U$84</c:f>
              <c:numCache>
                <c:formatCode>#,##0</c:formatCode>
                <c:ptCount val="5"/>
                <c:pt idx="0" formatCode="General">
                  <c:v>35</c:v>
                </c:pt>
                <c:pt idx="1">
                  <c:v>51</c:v>
                </c:pt>
                <c:pt idx="2" formatCode="General">
                  <c:v>32</c:v>
                </c:pt>
                <c:pt idx="3" formatCode="General">
                  <c:v>28</c:v>
                </c:pt>
                <c:pt idx="4" formatCode="General">
                  <c:v>41</c:v>
                </c:pt>
              </c:numCache>
            </c:numRef>
          </c:val>
        </c:ser>
        <c:dLbls>
          <c:showVal val="1"/>
        </c:dLbls>
        <c:axId val="49187456"/>
        <c:axId val="49213824"/>
      </c:barChart>
      <c:lineChart>
        <c:grouping val="standard"/>
        <c:ser>
          <c:idx val="4"/>
          <c:order val="4"/>
          <c:tx>
            <c:strRef>
              <c:f>'Datos '!#REF!</c:f>
              <c:strCache>
                <c:ptCount val="1"/>
                <c:pt idx="0">
                  <c:v>#REF!</c:v>
                </c:pt>
              </c:strCache>
            </c:strRef>
          </c:tx>
          <c:dLbls>
            <c:dLbl>
              <c:idx val="0"/>
              <c:layout>
                <c:manualLayout>
                  <c:x val="-3.3740288568257476E-2"/>
                  <c:y val="-2.808390386764485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7968923418424455E-2"/>
                  <c:y val="-2.756376496983548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7735849056604473E-2"/>
                  <c:y val="-2.403617166125041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3.5294117647058802E-2"/>
                  <c:y val="-1.8540545400829823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7302996670366612E-2"/>
                  <c:y val="-2.780850599221589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'!$Q$81:$U$81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'Datos '!$I$86</c:f>
              <c:strCache>
                <c:ptCount val="1"/>
                <c:pt idx="0">
                  <c:v>Total</c:v>
                </c:pt>
              </c:strCache>
            </c:strRef>
          </c:tx>
          <c:dLbls>
            <c:dLbl>
              <c:idx val="0"/>
              <c:layout>
                <c:manualLayout>
                  <c:x val="-1.8571957084720668E-2"/>
                  <c:y val="-2.7625078675932637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2789493155752828E-2"/>
                  <c:y val="-3.422161136872579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2.7007029226785051E-2"/>
                  <c:y val="-3.275350776911517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0125786163522077E-2"/>
                  <c:y val="-3.472119818627895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2112467628560855E-2"/>
                  <c:y val="-3.5822447153322799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'!$Q$81:$U$81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'!$Q$86:$U$86</c:f>
              <c:numCache>
                <c:formatCode>General</c:formatCode>
                <c:ptCount val="5"/>
                <c:pt idx="0">
                  <c:v>55</c:v>
                </c:pt>
                <c:pt idx="1">
                  <c:v>73</c:v>
                </c:pt>
                <c:pt idx="2">
                  <c:v>75</c:v>
                </c:pt>
                <c:pt idx="3">
                  <c:v>87</c:v>
                </c:pt>
                <c:pt idx="4">
                  <c:v>106</c:v>
                </c:pt>
              </c:numCache>
            </c:numRef>
          </c:val>
        </c:ser>
        <c:ser>
          <c:idx val="6"/>
          <c:order val="6"/>
          <c:tx>
            <c:strRef>
              <c:f>'Datos '!$I$88</c:f>
              <c:strCache>
                <c:ptCount val="1"/>
                <c:pt idx="0">
                  <c:v>Índice de Proyectos por Investigador</c:v>
                </c:pt>
              </c:strCache>
            </c:strRef>
          </c:tx>
          <c:dLbls>
            <c:dLbl>
              <c:idx val="0"/>
              <c:layout>
                <c:manualLayout>
                  <c:x val="-3.9659637439881636E-2"/>
                  <c:y val="-2.07457836122849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5.0314465408805194E-3"/>
                  <c:y val="-1.757459762880370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4.8094709581946934E-3"/>
                  <c:y val="-2.233343181205125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7.9171291157974517E-3"/>
                  <c:y val="-2.030031727273895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8793932667406622E-2"/>
                  <c:y val="-2.3803761887024013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'!$Q$81:$U$81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'!$Q$88:$U$88</c:f>
              <c:numCache>
                <c:formatCode>#,##0.0</c:formatCode>
                <c:ptCount val="5"/>
                <c:pt idx="0">
                  <c:v>1.5277777777777777</c:v>
                </c:pt>
                <c:pt idx="1">
                  <c:v>2.0857142857142859</c:v>
                </c:pt>
                <c:pt idx="2">
                  <c:v>2.1428571428571428</c:v>
                </c:pt>
                <c:pt idx="3">
                  <c:v>1.9772727272727273</c:v>
                </c:pt>
                <c:pt idx="4">
                  <c:v>2.2083333333333335</c:v>
                </c:pt>
              </c:numCache>
            </c:numRef>
          </c:val>
        </c:ser>
        <c:ser>
          <c:idx val="7"/>
          <c:order val="7"/>
          <c:tx>
            <c:strRef>
              <c:f>'Datos '!$I$89</c:f>
              <c:strCache>
                <c:ptCount val="1"/>
                <c:pt idx="0">
                  <c:v>Índice de Proyectos de Vinculación  por Investigador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'!$Q$81:$U$81</c:f>
              <c:numCache>
                <c:formatCode>General</c:formatCode>
                <c:ptCount val="5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</c:numCache>
            </c:numRef>
          </c:cat>
          <c:val>
            <c:numRef>
              <c:f>'Datos '!$Q$89:$U$89</c:f>
              <c:numCache>
                <c:formatCode>#,##0.0</c:formatCode>
                <c:ptCount val="5"/>
                <c:pt idx="0">
                  <c:v>0.97222222222222221</c:v>
                </c:pt>
                <c:pt idx="1">
                  <c:v>1.4571428571428571</c:v>
                </c:pt>
                <c:pt idx="2">
                  <c:v>0.91428571428571426</c:v>
                </c:pt>
                <c:pt idx="3">
                  <c:v>0.63636363636363635</c:v>
                </c:pt>
                <c:pt idx="4">
                  <c:v>0.85416666666666663</c:v>
                </c:pt>
              </c:numCache>
            </c:numRef>
          </c:val>
        </c:ser>
        <c:dLbls>
          <c:showVal val="1"/>
        </c:dLbls>
        <c:marker val="1"/>
        <c:axId val="49215744"/>
        <c:axId val="49876992"/>
      </c:lineChart>
      <c:catAx>
        <c:axId val="4918745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213824"/>
        <c:crosses val="autoZero"/>
        <c:lblAlgn val="ctr"/>
        <c:lblOffset val="100"/>
        <c:tickLblSkip val="1"/>
        <c:tickMarkSkip val="1"/>
      </c:catAx>
      <c:valAx>
        <c:axId val="4921382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Número de Proyectos Vigentes</a:t>
                </a:r>
              </a:p>
            </c:rich>
          </c:tx>
          <c:layout>
            <c:manualLayout>
              <c:xMode val="edge"/>
              <c:yMode val="edge"/>
              <c:x val="0"/>
              <c:y val="0.1402936378466559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187456"/>
        <c:crosses val="autoZero"/>
        <c:crossBetween val="between"/>
      </c:valAx>
      <c:catAx>
        <c:axId val="49215744"/>
        <c:scaling>
          <c:orientation val="minMax"/>
        </c:scaling>
        <c:delete val="1"/>
        <c:axPos val="b"/>
        <c:numFmt formatCode="General" sourceLinked="1"/>
        <c:tickLblPos val="none"/>
        <c:crossAx val="49876992"/>
        <c:crosses val="autoZero"/>
        <c:lblAlgn val="ctr"/>
        <c:lblOffset val="100"/>
      </c:catAx>
      <c:valAx>
        <c:axId val="49876992"/>
        <c:scaling>
          <c:orientation val="minMax"/>
        </c:scaling>
        <c:axPos val="r"/>
        <c:title>
          <c:tx>
            <c:rich>
              <a:bodyPr rot="5400000" vert="horz"/>
              <a:lstStyle/>
              <a:p>
                <a:pPr algn="ctr"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Índice</a:t>
                </a:r>
              </a:p>
            </c:rich>
          </c:tx>
          <c:layout>
            <c:manualLayout>
              <c:xMode val="edge"/>
              <c:yMode val="edge"/>
              <c:x val="0.95116537180910099"/>
              <c:y val="0.2952691680261011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215744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5493895671476137E-3"/>
          <c:y val="0.72593800978792256"/>
          <c:w val="0.99334073251943145"/>
          <c:h val="0.25448613376835338"/>
        </c:manualLayout>
      </c:layout>
      <c:spPr>
        <a:noFill/>
        <a:ln w="25400">
          <a:noFill/>
        </a:ln>
      </c:spPr>
      <c:txPr>
        <a:bodyPr/>
        <a:lstStyle/>
        <a:p>
          <a:pPr>
            <a:defRPr sz="655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0.11582213029989658"/>
          <c:y val="0.17288135593220341"/>
          <c:w val="0.7776628748707346"/>
          <c:h val="0.50677966101694916"/>
        </c:manualLayout>
      </c:layout>
      <c:barChart>
        <c:barDir val="col"/>
        <c:grouping val="clustered"/>
        <c:ser>
          <c:idx val="0"/>
          <c:order val="0"/>
          <c:tx>
            <c:strRef>
              <c:f>'Datos '!$I$563</c:f>
              <c:strCache>
                <c:ptCount val="1"/>
                <c:pt idx="0">
                  <c:v>Recursos Autogenerados (Venta de Proyectos y Servicios, Posgrado e Ingresos Diversos)</c:v>
                </c:pt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5.9806691691978242E-3"/>
                  <c:y val="-2.2494594955291589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5.9634065907222134E-3"/>
                  <c:y val="-2.9344187908714802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2581814036430709E-2"/>
                  <c:y val="-3.309257529249518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4823017856996639E-3"/>
                  <c:y val="-2.7089817162685843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1027774837348106E-3"/>
                  <c:y val="-2.7277014102051255E-2"/>
                </c:manualLayout>
              </c:layout>
              <c:dLblPos val="outEnd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'!$R$562:$V$562</c:f>
            </c:multiLvlStrRef>
          </c:cat>
          <c:val>
            <c:numRef>
              <c:f>'Datos '!$R$563:$V$563</c:f>
            </c:numRef>
          </c:val>
        </c:ser>
        <c:dLbls>
          <c:showVal val="1"/>
        </c:dLbls>
        <c:axId val="49919488"/>
        <c:axId val="49921024"/>
      </c:barChart>
      <c:catAx>
        <c:axId val="499194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921024"/>
        <c:crosses val="autoZero"/>
        <c:auto val="1"/>
        <c:lblAlgn val="ctr"/>
        <c:lblOffset val="100"/>
        <c:tickLblSkip val="1"/>
        <c:tickMarkSkip val="1"/>
      </c:catAx>
      <c:valAx>
        <c:axId val="4992102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</a:t>
                </a:r>
              </a:p>
            </c:rich>
          </c:tx>
          <c:layout>
            <c:manualLayout>
              <c:xMode val="edge"/>
              <c:yMode val="edge"/>
              <c:x val="0"/>
              <c:y val="0.26101694915254797"/>
            </c:manualLayout>
          </c:layout>
          <c:spPr>
            <a:noFill/>
            <a:ln w="25400">
              <a:noFill/>
            </a:ln>
          </c:spPr>
        </c:title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9194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6.8252326783867626E-2"/>
          <c:y val="0.77457627118644068"/>
          <c:w val="0.92554291623578577"/>
          <c:h val="0.16610169491525487"/>
        </c:manualLayout>
      </c:layout>
      <c:spPr>
        <a:noFill/>
        <a:ln w="25400">
          <a:noFill/>
        </a:ln>
      </c:spPr>
      <c:txPr>
        <a:bodyPr/>
        <a:lstStyle/>
        <a:p>
          <a:pPr>
            <a:defRPr sz="110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3650465356773644"/>
          <c:y val="7.1751412429378533E-2"/>
          <c:w val="0.73216132368149756"/>
          <c:h val="0.63728813559322062"/>
        </c:manualLayout>
      </c:layout>
      <c:barChart>
        <c:barDir val="col"/>
        <c:grouping val="clustered"/>
        <c:ser>
          <c:idx val="0"/>
          <c:order val="0"/>
          <c:tx>
            <c:strRef>
              <c:f>'Datos '!$I$562</c:f>
              <c:strCache>
                <c:ptCount val="1"/>
                <c:pt idx="0">
                  <c:v>Ingresos Totales (millones $)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9.6744266842549546E-3"/>
                  <c:y val="1.210463098892299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9.2607762188984186E-3"/>
                  <c:y val="9.3096668001248339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4017756570500833E-2"/>
                  <c:y val="-2.9355398371813692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6.7099316825315041E-3"/>
                  <c:y val="-2.5348458561323912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4704676910215601E-3"/>
                  <c:y val="9.0084078473243647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'!$R$562:$V$562</c:f>
            </c:numRef>
          </c:val>
        </c:ser>
        <c:ser>
          <c:idx val="1"/>
          <c:order val="1"/>
          <c:tx>
            <c:strRef>
              <c:f>'Datos '!$I$563</c:f>
              <c:strCache>
                <c:ptCount val="1"/>
                <c:pt idx="0">
                  <c:v>Recursos Autogenerados (Venta de Proyectos y Servicios, Posgrado e Ingresos Diversos)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9.6518441916580728E-3"/>
                  <c:y val="0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9.6518441916580728E-3"/>
                  <c:y val="0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5.5153395380903138E-3"/>
                  <c:y val="2.0338983050847539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3.2051939732973553E-3"/>
                  <c:y val="1.2703945905067043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5.6869881957620893E-3"/>
                  <c:y val="1.612278126251215E-2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'!$R$563:$V$563</c:f>
            </c:numRef>
          </c:val>
        </c:ser>
        <c:ser>
          <c:idx val="2"/>
          <c:order val="2"/>
          <c:tx>
            <c:strRef>
              <c:f>'Datos '!$I$564</c:f>
              <c:strCache>
                <c:ptCount val="1"/>
                <c:pt idx="0">
                  <c:v>Fondos ( Mixtos, Sectoriales e Institucionales)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1.5352620736265468E-2"/>
                  <c:y val="-7.1141954713287961E-4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2.0799018530129852E-2"/>
                  <c:y val="-5.978557765025211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8234385644917864E-2"/>
                  <c:y val="-8.368165843676320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2.0923113669736482E-2"/>
                  <c:y val="-5.3867164909472036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3270797199988063E-2"/>
                  <c:y val="-4.2667378442101519E-3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'!$R$564:$V$564</c:f>
            </c:numRef>
          </c:val>
        </c:ser>
        <c:ser>
          <c:idx val="3"/>
          <c:order val="3"/>
          <c:tx>
            <c:strRef>
              <c:f>'Datos '!$I$565</c:f>
              <c:strCache>
                <c:ptCount val="1"/>
                <c:pt idx="0">
                  <c:v>Fiscales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8.4988342331049967E-4"/>
                  <c:y val="-1.9280217091508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2940772527529259E-4"/>
                  <c:y val="-2.065750255794299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7113105174160746E-3"/>
                  <c:y val="-4.273143823123922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3.7002716956140856E-3"/>
                  <c:y val="-4.3105120334534343E-3"/>
                </c:manualLayout>
              </c:layout>
              <c:dLblPos val="outEnd"/>
              <c:showVal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'!$R$565:$V$565</c:f>
            </c:numRef>
          </c:val>
        </c:ser>
        <c:ser>
          <c:idx val="4"/>
          <c:order val="4"/>
          <c:tx>
            <c:strRef>
              <c:f>'Datos '!$I$566</c:f>
              <c:strCache>
                <c:ptCount val="1"/>
                <c:pt idx="0">
                  <c:v>Total</c:v>
                </c:pt>
              </c:strCache>
            </c:strRef>
          </c:tx>
          <c:val>
            <c:numRef>
              <c:f>'Datos '!$R$566:$V$566</c:f>
            </c:numRef>
          </c:val>
        </c:ser>
        <c:dLbls>
          <c:showVal val="1"/>
        </c:dLbls>
        <c:axId val="50131328"/>
        <c:axId val="50132864"/>
      </c:barChart>
      <c:catAx>
        <c:axId val="501313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0132864"/>
        <c:crosses val="autoZero"/>
        <c:auto val="1"/>
        <c:lblAlgn val="ctr"/>
        <c:lblOffset val="100"/>
        <c:tickLblSkip val="1"/>
        <c:tickMarkSkip val="1"/>
      </c:catAx>
      <c:valAx>
        <c:axId val="5013286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2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</a:t>
                </a:r>
              </a:p>
            </c:rich>
          </c:tx>
          <c:layout>
            <c:manualLayout>
              <c:xMode val="edge"/>
              <c:yMode val="edge"/>
              <c:x val="1.3443640124095138E-2"/>
              <c:y val="0.23559322033898306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01313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2730093071354746E-3"/>
          <c:y val="0.81016949152542372"/>
          <c:w val="0.69017102438203493"/>
          <c:h val="0.18983050847457628"/>
        </c:manualLayout>
      </c:layout>
      <c:spPr>
        <a:noFill/>
        <a:ln w="25400">
          <a:noFill/>
        </a:ln>
      </c:spPr>
      <c:txPr>
        <a:bodyPr/>
        <a:lstStyle/>
        <a:p>
          <a:pPr>
            <a:defRPr sz="114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6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9.3416063426404725E-2"/>
          <c:y val="5.5932203389830584E-2"/>
          <c:w val="0.8948638400551534"/>
          <c:h val="0.88413933004137191"/>
        </c:manualLayout>
      </c:layout>
      <c:barChart>
        <c:barDir val="col"/>
        <c:grouping val="clustered"/>
        <c:ser>
          <c:idx val="1"/>
          <c:order val="0"/>
          <c:tx>
            <c:strRef>
              <c:f>'Datos '!$I$609</c:f>
              <c:strCache>
                <c:ptCount val="1"/>
                <c:pt idx="0">
                  <c:v>Servicios Personales</c:v>
                </c:pt>
              </c:strCache>
            </c:strRef>
          </c:tx>
          <c:spPr>
            <a:solidFill>
              <a:srgbClr val="339933"/>
            </a:solidFill>
            <a:ln w="25400">
              <a:noFill/>
            </a:ln>
          </c:spPr>
          <c:dLbls>
            <c:dLbl>
              <c:idx val="1"/>
              <c:layout>
                <c:manualLayout>
                  <c:x val="2.1096173733195752E-3"/>
                  <c:y val="9.7710752257663246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4891416752844148E-3"/>
                  <c:y val="3.457093287068006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9027921406411653E-3"/>
                  <c:y val="8.589883891632324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4821932160237461E-3"/>
                  <c:y val="6.0726900662842033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'!$L$608:$P$608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'!$L$609:$P$609</c:f>
              <c:numCache>
                <c:formatCode>#,##0</c:formatCode>
                <c:ptCount val="1"/>
                <c:pt idx="0">
                  <c:v>93.757604189999995</c:v>
                </c:pt>
              </c:numCache>
            </c:numRef>
          </c:val>
        </c:ser>
        <c:ser>
          <c:idx val="0"/>
          <c:order val="1"/>
          <c:tx>
            <c:strRef>
              <c:f>'Datos '!$I$610</c:f>
              <c:strCache>
                <c:ptCount val="1"/>
                <c:pt idx="0">
                  <c:v>Materiales y Suministros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2.7335673009850699E-3"/>
                  <c:y val="1.649984429912358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0789654395578921E-3"/>
                  <c:y val="1.5107611548556381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4.5848974152272833E-4"/>
                  <c:y val="8.421371057431369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8.721402068795586E-4"/>
                  <c:y val="9.4020196627963067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'!$L$608:$P$608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'!$L$610:$P$610</c:f>
              <c:numCache>
                <c:formatCode>#,##0</c:formatCode>
                <c:ptCount val="1"/>
                <c:pt idx="0">
                  <c:v>7.2614248200000002</c:v>
                </c:pt>
              </c:numCache>
            </c:numRef>
          </c:val>
        </c:ser>
        <c:ser>
          <c:idx val="5"/>
          <c:order val="2"/>
          <c:tx>
            <c:strRef>
              <c:f>'Datos '!$I$611</c:f>
              <c:strCache>
                <c:ptCount val="1"/>
                <c:pt idx="0">
                  <c:v>Servicios Generales</c:v>
                </c:pt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dLbls>
            <c:dLbl>
              <c:idx val="1"/>
              <c:layout>
                <c:manualLayout>
                  <c:x val="2.0130989314030004E-3"/>
                  <c:y val="5.8993727478979813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392623233367838E-3"/>
                  <c:y val="8.4316918012367105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806273698724502E-3"/>
                  <c:y val="1.2261577472307675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4.8954066884349438E-4"/>
                  <c:y val="6.0129009297566951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'!$L$608:$P$608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'!$L$611:$P$611</c:f>
              <c:numCache>
                <c:formatCode>#,##0</c:formatCode>
                <c:ptCount val="1"/>
                <c:pt idx="0">
                  <c:v>36.044077420000001</c:v>
                </c:pt>
              </c:numCache>
            </c:numRef>
          </c:val>
        </c:ser>
        <c:ser>
          <c:idx val="6"/>
          <c:order val="3"/>
          <c:tx>
            <c:strRef>
              <c:f>'Datos '!$I$612</c:f>
              <c:strCache>
                <c:ptCount val="1"/>
                <c:pt idx="0">
                  <c:v>Transferencias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4.6532963110740636E-4"/>
                  <c:y val="1.842608656968748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7.6008544433497013E-3"/>
                  <c:y val="9.4210596556785504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2742415729579034E-4"/>
                  <c:y val="1.921971617954457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1.0341261633919525E-3"/>
                  <c:y val="4.6861515191956886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'!$L$608:$P$608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'!$L$612:$P$612</c:f>
              <c:numCache>
                <c:formatCode>#,##0</c:formatCode>
                <c:ptCount val="1"/>
                <c:pt idx="0">
                  <c:v>19.420928410000002</c:v>
                </c:pt>
              </c:numCache>
            </c:numRef>
          </c:val>
        </c:ser>
        <c:ser>
          <c:idx val="2"/>
          <c:order val="4"/>
          <c:tx>
            <c:strRef>
              <c:f>'Datos '!$I$613</c:f>
              <c:strCache>
                <c:ptCount val="1"/>
                <c:pt idx="0">
                  <c:v>Bienes Muebles e Inmuebles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0376003930222166E-3"/>
                  <c:y val="1.569500422616658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4512508583790201E-3"/>
                  <c:y val="9.8876284532230067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899027487127729E-3"/>
                  <c:y val="1.222936963388050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2444256257006341E-3"/>
                  <c:y val="5.6865518928777836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1065421372483801E-3"/>
                  <c:y val="6.0718003469905513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'!$L$608:$P$608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'!$L$613:$P$613</c:f>
              <c:numCache>
                <c:formatCode>#,##0</c:formatCode>
                <c:ptCount val="1"/>
                <c:pt idx="0">
                  <c:v>5.2701361699999998</c:v>
                </c:pt>
              </c:numCache>
            </c:numRef>
          </c:val>
        </c:ser>
        <c:ser>
          <c:idx val="3"/>
          <c:order val="5"/>
          <c:tx>
            <c:strRef>
              <c:f>'Datos '!$I$614</c:f>
              <c:strCache>
                <c:ptCount val="1"/>
                <c:pt idx="0">
                  <c:v>Obra Pública</c:v>
                </c:pt>
              </c:strCache>
            </c:strRef>
          </c:tx>
          <c:spPr>
            <a:solidFill>
              <a:srgbClr val="800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7111612341116392E-3"/>
                  <c:y val="1.575995373459671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7.0906855360763467E-3"/>
                  <c:y val="1.2359802482316752E-2"/>
                </c:manualLayout>
              </c:layout>
              <c:dLblPos val="outEnd"/>
              <c:showVal val="1"/>
            </c:dLbl>
            <c:dLbl>
              <c:idx val="2"/>
              <c:delete val="1"/>
            </c:dLbl>
            <c:dLbl>
              <c:idx val="3"/>
              <c:layout>
                <c:manualLayout>
                  <c:x val="1.503277447092642E-2"/>
                  <c:y val="-5.2733662529472914E-3"/>
                </c:manualLayout>
              </c:layout>
              <c:tx>
                <c:rich>
                  <a:bodyPr/>
                  <a:lstStyle/>
                  <a:p>
                    <a:r>
                      <a:t>
</a:t>
                    </a:r>
                  </a:p>
                </c:rich>
              </c:tx>
              <c:dLblPos val="outEnd"/>
            </c:dLbl>
            <c:dLbl>
              <c:idx val="4"/>
              <c:layout>
                <c:manualLayout>
                  <c:x val="5.1679165750610005E-5"/>
                  <c:y val="9.6071889318919898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'!$L$608:$P$608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'!$L$614:$P$614</c:f>
              <c:numCache>
                <c:formatCode>#,##0</c:formatCode>
                <c:ptCount val="1"/>
                <c:pt idx="0">
                  <c:v>3</c:v>
                </c:pt>
              </c:numCache>
            </c:numRef>
          </c:val>
        </c:ser>
        <c:dLbls>
          <c:showVal val="1"/>
        </c:dLbls>
        <c:axId val="50395008"/>
        <c:axId val="50396544"/>
      </c:barChart>
      <c:lineChart>
        <c:grouping val="standard"/>
        <c:ser>
          <c:idx val="4"/>
          <c:order val="6"/>
          <c:tx>
            <c:strRef>
              <c:f>'Datos '!$I$616</c:f>
              <c:strCache>
                <c:ptCount val="1"/>
                <c:pt idx="0">
                  <c:v>Totales</c:v>
                </c:pt>
              </c:strCache>
            </c:strRef>
          </c:tx>
          <c:dLbls>
            <c:dLbl>
              <c:idx val="0"/>
              <c:layout>
                <c:manualLayout>
                  <c:x val="-1.6339193381592548E-2"/>
                  <c:y val="-3.09125850794074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1096173733195479E-2"/>
                  <c:y val="-3.483162062369386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5.2740434332989534E-2"/>
                  <c:y val="-3.119800702878243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3.4746639089968966E-2"/>
                  <c:y val="-2.6129276213354695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3298862461220442E-2"/>
                  <c:y val="-3.7365007340184185E-2"/>
                </c:manualLayout>
              </c:layout>
              <c:dLblPos val="r"/>
              <c:showVal val="1"/>
            </c:dLbl>
            <c:dLbl>
              <c:idx val="5"/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'!$L$608:$P$608</c:f>
              <c:numCache>
                <c:formatCode>General</c:formatCode>
                <c:ptCount val="1"/>
                <c:pt idx="0">
                  <c:v>2009</c:v>
                </c:pt>
              </c:numCache>
            </c:numRef>
          </c:cat>
          <c:val>
            <c:numRef>
              <c:f>'Datos '!$L$616:$P$616</c:f>
              <c:numCache>
                <c:formatCode>#,##0</c:formatCode>
                <c:ptCount val="1"/>
                <c:pt idx="0">
                  <c:v>67.996566819999998</c:v>
                </c:pt>
              </c:numCache>
            </c:numRef>
          </c:val>
        </c:ser>
        <c:dLbls>
          <c:showVal val="1"/>
        </c:dLbls>
        <c:marker val="1"/>
        <c:axId val="50395008"/>
        <c:axId val="50396544"/>
      </c:lineChart>
      <c:catAx>
        <c:axId val="503950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0396544"/>
        <c:crosses val="autoZero"/>
        <c:lblAlgn val="ctr"/>
        <c:lblOffset val="100"/>
        <c:tickLblSkip val="1"/>
        <c:tickMarkSkip val="1"/>
      </c:catAx>
      <c:valAx>
        <c:axId val="5039654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</a:t>
                </a:r>
              </a:p>
            </c:rich>
          </c:tx>
          <c:layout>
            <c:manualLayout>
              <c:xMode val="edge"/>
              <c:yMode val="edge"/>
              <c:x val="0"/>
              <c:y val="0.33107344632769015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03950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4794898310929937E-2"/>
          <c:y val="2.2598870056497182E-2"/>
          <c:w val="0.27680110306791139"/>
          <c:h val="0.32203389830508711"/>
        </c:manualLayout>
      </c:layout>
      <c:spPr>
        <a:noFill/>
        <a:ln w="25400">
          <a:noFill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Pr>
        <a:bodyPr/>
        <a:lstStyle/>
        <a:p>
          <a:pPr>
            <a:defRPr sz="2400" b="1" i="0" u="none" strike="noStrike" baseline="0">
              <a:solidFill>
                <a:srgbClr val="333399"/>
              </a:solidFill>
              <a:latin typeface="Calibri"/>
              <a:ea typeface="Calibri"/>
              <a:cs typeface="Calibri"/>
            </a:defRPr>
          </a:pPr>
          <a:endParaRPr lang="es-MX"/>
        </a:p>
      </c:txPr>
    </c:title>
    <c:plotArea>
      <c:layout>
        <c:manualLayout>
          <c:layoutTarget val="inner"/>
          <c:xMode val="edge"/>
          <c:yMode val="edge"/>
          <c:x val="0.15912200209158095"/>
          <c:y val="0.1941272430668842"/>
          <c:w val="0.79948205697373287"/>
          <c:h val="0.47634584013050568"/>
        </c:manualLayout>
      </c:layout>
      <c:barChart>
        <c:barDir val="col"/>
        <c:grouping val="clustered"/>
        <c:ser>
          <c:idx val="1"/>
          <c:order val="0"/>
          <c:tx>
            <c:strRef>
              <c:f>'Datos '!$I$357</c:f>
              <c:strCache>
                <c:ptCount val="1"/>
                <c:pt idx="0">
                  <c:v>No. de Servicios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333399"/>
                    </a:solidFill>
                    <a:latin typeface="Calibri"/>
                    <a:ea typeface="Calibri"/>
                    <a:cs typeface="Calibri"/>
                  </a:defRPr>
                </a:pPr>
                <a:endParaRPr lang="es-MX"/>
              </a:p>
            </c:txPr>
            <c:showVal val="1"/>
          </c:dLbls>
          <c:cat>
            <c:strRef>
              <c:f>'Datos '!$S$356:$W$356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strCache>
            </c:strRef>
          </c:cat>
          <c:val>
            <c:numRef>
              <c:f>'Datos '!$S$357:$W$357</c:f>
              <c:numCache>
                <c:formatCode>0</c:formatCode>
                <c:ptCount val="5"/>
                <c:pt idx="0">
                  <c:v>942</c:v>
                </c:pt>
                <c:pt idx="1">
                  <c:v>1006</c:v>
                </c:pt>
                <c:pt idx="2">
                  <c:v>901</c:v>
                </c:pt>
                <c:pt idx="3">
                  <c:v>980</c:v>
                </c:pt>
                <c:pt idx="4">
                  <c:v>950</c:v>
                </c:pt>
              </c:numCache>
            </c:numRef>
          </c:val>
        </c:ser>
        <c:dLbls>
          <c:showVal val="1"/>
        </c:dLbls>
        <c:axId val="129082112"/>
        <c:axId val="129083648"/>
      </c:barChart>
      <c:catAx>
        <c:axId val="129082112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29083648"/>
        <c:crosses val="autoZero"/>
        <c:lblAlgn val="ctr"/>
        <c:lblOffset val="100"/>
        <c:tickLblSkip val="1"/>
        <c:tickMarkSkip val="1"/>
      </c:catAx>
      <c:valAx>
        <c:axId val="129083648"/>
        <c:scaling>
          <c:orientation val="minMax"/>
          <c:max val="1100"/>
          <c:min val="800"/>
        </c:scaling>
        <c:axPos val="l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333399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/>
                  <a:t>Número </a:t>
                </a:r>
              </a:p>
            </c:rich>
          </c:tx>
          <c:layout>
            <c:manualLayout>
              <c:xMode val="edge"/>
              <c:yMode val="edge"/>
              <c:x val="1.9237883832778403E-2"/>
              <c:y val="0.358890701468189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 i="0" u="none" strike="noStrike" baseline="0">
                <a:solidFill>
                  <a:srgbClr val="333399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29082112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8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3444069491313584"/>
          <c:y val="6.5536723163842014E-2"/>
          <c:w val="0.76421923474663911"/>
          <c:h val="0.64915254237288933"/>
        </c:manualLayout>
      </c:layout>
      <c:barChart>
        <c:barDir val="col"/>
        <c:grouping val="clustered"/>
        <c:ser>
          <c:idx val="0"/>
          <c:order val="0"/>
          <c:tx>
            <c:strRef>
              <c:f>'Datos '!$I$412</c:f>
              <c:strCache>
                <c:ptCount val="1"/>
                <c:pt idx="0">
                  <c:v>Recursos Autogenerados (Venta de Proyectos y Servicios, Posgrado)+ Ingresos Diversos</c:v>
                </c:pt>
              </c:strCache>
            </c:strRef>
          </c:tx>
          <c:spPr>
            <a:solidFill>
              <a:srgbClr val="996633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7.046389108290225E-3"/>
                  <c:y val="-1.0477690288713915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5.4952541480402474E-3"/>
                  <c:y val="-1.9782374660794737E-2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'!$X$411:$Y$411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'!$X$412:$Y$412</c:f>
              <c:numCache>
                <c:formatCode>#,##0.0</c:formatCode>
                <c:ptCount val="2"/>
                <c:pt idx="0">
                  <c:v>55.38</c:v>
                </c:pt>
                <c:pt idx="1">
                  <c:v>63.615699999999997</c:v>
                </c:pt>
              </c:numCache>
            </c:numRef>
          </c:val>
        </c:ser>
        <c:ser>
          <c:idx val="1"/>
          <c:order val="1"/>
          <c:tx>
            <c:strRef>
              <c:f>'Datos '!$I$413</c:f>
              <c:strCache>
                <c:ptCount val="1"/>
                <c:pt idx="0">
                  <c:v>Fondos ( Mixtos, Sectoriales e Institucionales)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8.2685579504216747E-3"/>
                  <c:y val="-3.0620935094977486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8.7855667472797726E-3"/>
                  <c:y val="-2.8926019840740187E-2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'!$X$411:$Y$411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'!$X$413:$Y$413</c:f>
              <c:numCache>
                <c:formatCode>#,##0.0</c:formatCode>
                <c:ptCount val="2"/>
                <c:pt idx="0">
                  <c:v>39.2224</c:v>
                </c:pt>
                <c:pt idx="1">
                  <c:v>39.2224</c:v>
                </c:pt>
              </c:numCache>
            </c:numRef>
          </c:val>
        </c:ser>
        <c:ser>
          <c:idx val="2"/>
          <c:order val="2"/>
          <c:tx>
            <c:strRef>
              <c:f>'Datos '!$I$414</c:f>
              <c:strCache>
                <c:ptCount val="1"/>
                <c:pt idx="0">
                  <c:v>Fiscales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4.1236934318060504E-3"/>
                  <c:y val="-3.421326571466762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5383237384882485E-3"/>
                  <c:y val="-5.1162418257040924E-3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'!$X$411:$Y$411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'!$X$414:$Y$414</c:f>
              <c:numCache>
                <c:formatCode>#,##0.0</c:formatCode>
                <c:ptCount val="2"/>
                <c:pt idx="0">
                  <c:v>136.2705</c:v>
                </c:pt>
                <c:pt idx="1">
                  <c:v>136.2705</c:v>
                </c:pt>
              </c:numCache>
            </c:numRef>
          </c:val>
        </c:ser>
        <c:ser>
          <c:idx val="3"/>
          <c:order val="3"/>
          <c:tx>
            <c:strRef>
              <c:f>'Datos '!$I$415</c:f>
              <c:strCache>
                <c:ptCount val="1"/>
                <c:pt idx="0">
                  <c:v>Totales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'!$X$411:$Y$411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'!$X$415:$Y$415</c:f>
              <c:numCache>
                <c:formatCode>#,##0.0</c:formatCode>
                <c:ptCount val="2"/>
                <c:pt idx="0">
                  <c:v>230.87290000000002</c:v>
                </c:pt>
                <c:pt idx="1">
                  <c:v>239.1086</c:v>
                </c:pt>
              </c:numCache>
            </c:numRef>
          </c:val>
        </c:ser>
        <c:dLbls>
          <c:showVal val="1"/>
        </c:dLbls>
        <c:axId val="50433408"/>
        <c:axId val="50467968"/>
      </c:barChart>
      <c:catAx>
        <c:axId val="5043340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0467968"/>
        <c:crosses val="autoZero"/>
        <c:auto val="1"/>
        <c:lblAlgn val="ctr"/>
        <c:lblOffset val="100"/>
        <c:tickLblSkip val="1"/>
        <c:tickMarkSkip val="1"/>
      </c:catAx>
      <c:valAx>
        <c:axId val="5046796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</a:t>
                </a:r>
              </a:p>
            </c:rich>
          </c:tx>
          <c:layout>
            <c:manualLayout>
              <c:xMode val="edge"/>
              <c:yMode val="edge"/>
              <c:x val="1.8614303646826761E-2"/>
              <c:y val="0.26949152542372873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04334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638034376137834E-2"/>
          <c:y val="0.80508474576270128"/>
          <c:w val="0.92554289409476231"/>
          <c:h val="0.16610169491525767"/>
        </c:manualLayout>
      </c:layout>
      <c:spPr>
        <a:noFill/>
        <a:ln w="25400">
          <a:noFill/>
        </a:ln>
      </c:spPr>
      <c:txPr>
        <a:bodyPr/>
        <a:lstStyle/>
        <a:p>
          <a:pPr>
            <a:defRPr sz="77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4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3444069491313584"/>
          <c:y val="6.5536723163842014E-2"/>
          <c:w val="0.76421923474663911"/>
          <c:h val="0.64915254237288944"/>
        </c:manualLayout>
      </c:layout>
      <c:barChart>
        <c:barDir val="col"/>
        <c:grouping val="clustered"/>
        <c:ser>
          <c:idx val="0"/>
          <c:order val="0"/>
          <c:tx>
            <c:strRef>
              <c:f>'Datos '!$I$412</c:f>
              <c:strCache>
                <c:ptCount val="1"/>
                <c:pt idx="0">
                  <c:v>Recursos Autogenerados (Venta de Proyectos y Servicios, Posgrado)+ Ingresos Diversos</c:v>
                </c:pt>
              </c:strCache>
            </c:strRef>
          </c:tx>
          <c:spPr>
            <a:solidFill>
              <a:srgbClr val="996633"/>
            </a:solidFill>
            <a:ln w="25400">
              <a:noFill/>
            </a:ln>
            <a:scene3d>
              <a:camera prst="orthographicFront"/>
              <a:lightRig rig="threePt" dir="t"/>
            </a:scene3d>
            <a:sp3d prstMaterial="metal">
              <a:bevelT w="165100" prst="coolSlant"/>
            </a:sp3d>
          </c:spPr>
          <c:dLbls>
            <c:dLbl>
              <c:idx val="0"/>
              <c:layout>
                <c:manualLayout>
                  <c:x val="-7.0463891082902276E-3"/>
                  <c:y val="-1.0477690288713915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5.4952541480402474E-3"/>
                  <c:y val="-1.978237466079474E-2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'!$X$411:$Y$411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'!$X$412:$Y$412</c:f>
              <c:numCache>
                <c:formatCode>#,##0.0</c:formatCode>
                <c:ptCount val="2"/>
                <c:pt idx="0">
                  <c:v>55.38</c:v>
                </c:pt>
                <c:pt idx="1">
                  <c:v>63.615699999999997</c:v>
                </c:pt>
              </c:numCache>
            </c:numRef>
          </c:val>
        </c:ser>
        <c:ser>
          <c:idx val="1"/>
          <c:order val="1"/>
          <c:tx>
            <c:strRef>
              <c:f>'Datos '!$I$413</c:f>
              <c:strCache>
                <c:ptCount val="1"/>
                <c:pt idx="0">
                  <c:v>Fondos ( Mixtos, Sectoriales e Institucionales)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scene3d>
              <a:camera prst="orthographicFront"/>
              <a:lightRig rig="threePt" dir="t"/>
            </a:scene3d>
            <a:sp3d prstMaterial="metal">
              <a:bevelT w="165100" prst="coolSlant"/>
            </a:sp3d>
          </c:spPr>
          <c:dLbls>
            <c:dLbl>
              <c:idx val="0"/>
              <c:layout>
                <c:manualLayout>
                  <c:x val="-8.2685579504216747E-3"/>
                  <c:y val="-3.0620935094977486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8.7855667472797726E-3"/>
                  <c:y val="-2.8926019840740187E-2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'!$X$411:$Y$411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'!$X$413:$Y$413</c:f>
              <c:numCache>
                <c:formatCode>#,##0.0</c:formatCode>
                <c:ptCount val="2"/>
                <c:pt idx="0">
                  <c:v>39.2224</c:v>
                </c:pt>
                <c:pt idx="1">
                  <c:v>39.2224</c:v>
                </c:pt>
              </c:numCache>
            </c:numRef>
          </c:val>
        </c:ser>
        <c:ser>
          <c:idx val="2"/>
          <c:order val="2"/>
          <c:tx>
            <c:strRef>
              <c:f>'Datos '!$I$414</c:f>
              <c:strCache>
                <c:ptCount val="1"/>
                <c:pt idx="0">
                  <c:v>Fiscales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  <a:scene3d>
              <a:camera prst="orthographicFront"/>
              <a:lightRig rig="threePt" dir="t"/>
            </a:scene3d>
            <a:sp3d prstMaterial="metal">
              <a:bevelT w="165100" prst="coolSlant"/>
            </a:sp3d>
          </c:spPr>
          <c:dLbls>
            <c:dLbl>
              <c:idx val="0"/>
              <c:layout>
                <c:manualLayout>
                  <c:x val="-4.1236934318060504E-3"/>
                  <c:y val="-3.4213265714667629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5383237384882487E-3"/>
                  <c:y val="-5.1162418257040933E-3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'!$X$411:$Y$411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'!$X$414:$Y$414</c:f>
              <c:numCache>
                <c:formatCode>#,##0.0</c:formatCode>
                <c:ptCount val="2"/>
                <c:pt idx="0">
                  <c:v>136.2705</c:v>
                </c:pt>
                <c:pt idx="1">
                  <c:v>136.2705</c:v>
                </c:pt>
              </c:numCache>
            </c:numRef>
          </c:val>
        </c:ser>
        <c:ser>
          <c:idx val="3"/>
          <c:order val="3"/>
          <c:tx>
            <c:strRef>
              <c:f>'Datos '!$I$415</c:f>
              <c:strCache>
                <c:ptCount val="1"/>
                <c:pt idx="0">
                  <c:v>Totales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scene3d>
              <a:camera prst="orthographicFront"/>
              <a:lightRig rig="morning" dir="t"/>
            </a:scene3d>
            <a:sp3d prstMaterial="metal">
              <a:bevelT w="114300" prst="artDeco"/>
              <a:bevelB w="114300" prst="artDeco"/>
            </a:sp3d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'!$X$411:$Y$411</c:f>
              <c:strCache>
                <c:ptCount val="2"/>
                <c:pt idx="0">
                  <c:v>Programado 2010</c:v>
                </c:pt>
                <c:pt idx="1">
                  <c:v> Captado 2010</c:v>
                </c:pt>
              </c:strCache>
            </c:strRef>
          </c:cat>
          <c:val>
            <c:numRef>
              <c:f>'Datos '!$X$415:$Y$415</c:f>
              <c:numCache>
                <c:formatCode>#,##0.0</c:formatCode>
                <c:ptCount val="2"/>
                <c:pt idx="0">
                  <c:v>230.87290000000002</c:v>
                </c:pt>
                <c:pt idx="1">
                  <c:v>239.1086</c:v>
                </c:pt>
              </c:numCache>
            </c:numRef>
          </c:val>
        </c:ser>
        <c:dLbls>
          <c:showVal val="1"/>
        </c:dLbls>
        <c:axId val="49103616"/>
        <c:axId val="49105152"/>
      </c:barChart>
      <c:catAx>
        <c:axId val="491036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105152"/>
        <c:crosses val="autoZero"/>
        <c:auto val="1"/>
        <c:lblAlgn val="ctr"/>
        <c:lblOffset val="100"/>
        <c:tickLblSkip val="1"/>
        <c:tickMarkSkip val="1"/>
      </c:catAx>
      <c:valAx>
        <c:axId val="4910515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</a:t>
                </a:r>
              </a:p>
            </c:rich>
          </c:tx>
          <c:layout>
            <c:manualLayout>
              <c:xMode val="edge"/>
              <c:yMode val="edge"/>
              <c:x val="1.8614303646826761E-2"/>
              <c:y val="0.26949152542372873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10361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638034376137834E-2"/>
          <c:y val="0.80508474576270128"/>
          <c:w val="0.92554289409476231"/>
          <c:h val="0.16610169491525767"/>
        </c:manualLayout>
      </c:layout>
      <c:spPr>
        <a:noFill/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4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9.1003102378490727E-2"/>
          <c:y val="6.1016949152543284E-2"/>
          <c:w val="0.90899689762151936"/>
          <c:h val="0.86440677966101698"/>
        </c:manualLayout>
      </c:layout>
      <c:barChart>
        <c:barDir val="col"/>
        <c:grouping val="clustered"/>
        <c:ser>
          <c:idx val="1"/>
          <c:order val="0"/>
          <c:spPr>
            <a:solidFill>
              <a:srgbClr val="339933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4.8498074245371942E-4"/>
                  <c:y val="5.8134258641396501E-4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2136624080173463E-5"/>
                  <c:y val="-3.6850393700787812E-3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'!$X$429:$Y$429</c:f>
              <c:strCache>
                <c:ptCount val="2"/>
                <c:pt idx="0">
                  <c:v>Original  2010</c:v>
                </c:pt>
                <c:pt idx="1">
                  <c:v>Ejercido 2010</c:v>
                </c:pt>
              </c:strCache>
            </c:strRef>
          </c:cat>
          <c:val>
            <c:numRef>
              <c:f>'Datos '!$X$436:$Y$436</c:f>
              <c:numCache>
                <c:formatCode>#,##0.0</c:formatCode>
                <c:ptCount val="2"/>
                <c:pt idx="0">
                  <c:v>99.49804300000001</c:v>
                </c:pt>
                <c:pt idx="1">
                  <c:v>99.285917220000002</c:v>
                </c:pt>
              </c:numCache>
            </c:numRef>
          </c:val>
        </c:ser>
        <c:ser>
          <c:idx val="0"/>
          <c:order val="1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'!$X$429:$Y$429</c:f>
              <c:strCache>
                <c:ptCount val="2"/>
                <c:pt idx="0">
                  <c:v>Original  2010</c:v>
                </c:pt>
                <c:pt idx="1">
                  <c:v>Ejercido 2010</c:v>
                </c:pt>
              </c:strCache>
            </c:strRef>
          </c:cat>
          <c:val>
            <c:numRef>
              <c:f>'Datos '!$X$433:$Y$433</c:f>
              <c:numCache>
                <c:formatCode>#,##0.0</c:formatCode>
                <c:ptCount val="2"/>
                <c:pt idx="0">
                  <c:v>9.4329060000000009</c:v>
                </c:pt>
                <c:pt idx="1">
                  <c:v>11.03776117</c:v>
                </c:pt>
              </c:numCache>
            </c:numRef>
          </c:val>
        </c:ser>
        <c:ser>
          <c:idx val="2"/>
          <c:order val="2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'!$X$429:$Y$429</c:f>
              <c:strCache>
                <c:ptCount val="2"/>
                <c:pt idx="0">
                  <c:v>Original  2010</c:v>
                </c:pt>
                <c:pt idx="1">
                  <c:v>Ejercido 2010</c:v>
                </c:pt>
              </c:strCache>
            </c:strRef>
          </c:cat>
          <c:val>
            <c:numRef>
              <c:f>'Datos '!$X$434:$Y$434</c:f>
              <c:numCache>
                <c:formatCode>#,##0.0</c:formatCode>
                <c:ptCount val="2"/>
                <c:pt idx="0">
                  <c:v>28.951544999999999</c:v>
                </c:pt>
                <c:pt idx="1">
                  <c:v>29.188256969999998</c:v>
                </c:pt>
              </c:numCache>
            </c:numRef>
          </c:val>
        </c:ser>
        <c:ser>
          <c:idx val="3"/>
          <c:order val="3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'!$X$429:$Y$429</c:f>
              <c:strCache>
                <c:ptCount val="2"/>
                <c:pt idx="0">
                  <c:v>Original  2010</c:v>
                </c:pt>
                <c:pt idx="1">
                  <c:v>Ejercido 2010</c:v>
                </c:pt>
              </c:strCache>
            </c:strRef>
          </c:cat>
          <c:val>
            <c:numRef>
              <c:f>'Datos '!$X$431:$Y$431</c:f>
              <c:numCache>
                <c:formatCode>#,##0.0</c:formatCode>
                <c:ptCount val="2"/>
                <c:pt idx="0">
                  <c:v>5.3553000000000006</c:v>
                </c:pt>
                <c:pt idx="1">
                  <c:v>8.3280939999999983</c:v>
                </c:pt>
              </c:numCache>
            </c:numRef>
          </c:val>
        </c:ser>
        <c:ser>
          <c:idx val="4"/>
          <c:order val="4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'!$X$429:$Y$429</c:f>
              <c:strCache>
                <c:ptCount val="2"/>
                <c:pt idx="0">
                  <c:v>Original  2010</c:v>
                </c:pt>
                <c:pt idx="1">
                  <c:v>Ejercido 2010</c:v>
                </c:pt>
              </c:strCache>
            </c:strRef>
          </c:cat>
          <c:val>
            <c:numRef>
              <c:f>'Datos '!$X$432:$Y$432</c:f>
              <c:numCache>
                <c:formatCode>#,##0.0</c:formatCode>
                <c:ptCount val="2"/>
                <c:pt idx="0">
                  <c:v>3</c:v>
                </c:pt>
                <c:pt idx="1">
                  <c:v>9.18070831</c:v>
                </c:pt>
              </c:numCache>
            </c:numRef>
          </c:val>
        </c:ser>
        <c:ser>
          <c:idx val="5"/>
          <c:order val="5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'!$X$429:$Y$429</c:f>
              <c:strCache>
                <c:ptCount val="2"/>
                <c:pt idx="0">
                  <c:v>Original  2010</c:v>
                </c:pt>
                <c:pt idx="1">
                  <c:v>Ejercido 2010</c:v>
                </c:pt>
              </c:strCache>
            </c:strRef>
          </c:cat>
          <c:val>
            <c:numRef>
              <c:f>'Datos '!$X$430:$Y$430</c:f>
              <c:numCache>
                <c:formatCode>#,##0.0</c:formatCode>
                <c:ptCount val="2"/>
                <c:pt idx="0">
                  <c:v>0.5</c:v>
                </c:pt>
                <c:pt idx="1">
                  <c:v>0.38438484999999994</c:v>
                </c:pt>
              </c:numCache>
            </c:numRef>
          </c:val>
        </c:ser>
        <c:ser>
          <c:idx val="6"/>
          <c:order val="6"/>
          <c:dLbls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'!$X$429:$Y$429</c:f>
              <c:strCache>
                <c:ptCount val="2"/>
                <c:pt idx="0">
                  <c:v>Original  2010</c:v>
                </c:pt>
                <c:pt idx="1">
                  <c:v>Ejercido 2010</c:v>
                </c:pt>
              </c:strCache>
            </c:strRef>
          </c:cat>
          <c:val>
            <c:numRef>
              <c:f>'Datos '!$X$437:$Y$437</c:f>
              <c:numCache>
                <c:formatCode>#,##0.0</c:formatCode>
                <c:ptCount val="2"/>
                <c:pt idx="0">
                  <c:v>146.73779400000001</c:v>
                </c:pt>
                <c:pt idx="1">
                  <c:v>199.88615978999999</c:v>
                </c:pt>
              </c:numCache>
            </c:numRef>
          </c:val>
        </c:ser>
        <c:dLbls>
          <c:showVal val="1"/>
        </c:dLbls>
        <c:axId val="50825088"/>
        <c:axId val="50826624"/>
      </c:barChart>
      <c:catAx>
        <c:axId val="508250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0826624"/>
        <c:crosses val="autoZero"/>
        <c:lblAlgn val="ctr"/>
        <c:lblOffset val="100"/>
        <c:tickLblSkip val="1"/>
        <c:tickMarkSkip val="1"/>
      </c:catAx>
      <c:valAx>
        <c:axId val="50826624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</a:t>
                </a:r>
              </a:p>
            </c:rich>
          </c:tx>
          <c:layout>
            <c:manualLayout>
              <c:xMode val="edge"/>
              <c:yMode val="edge"/>
              <c:x val="0"/>
              <c:y val="0.35593220338983822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0825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1003102378490727E-2"/>
          <c:y val="3.3898305084746286E-3"/>
          <c:w val="7.0890678479047314E-2"/>
          <c:h val="0.26898634280885053"/>
        </c:manualLayout>
      </c:layout>
      <c:spPr>
        <a:noFill/>
        <a:ln w="25400">
          <a:noFill/>
        </a:ln>
      </c:spPr>
      <c:txPr>
        <a:bodyPr/>
        <a:lstStyle/>
        <a:p>
          <a:pPr>
            <a:defRPr sz="77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4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8.9968976215098265E-2"/>
          <c:y val="0.11694915254237288"/>
          <c:w val="0.80248190279214049"/>
          <c:h val="0.80847457627119501"/>
        </c:manualLayout>
      </c:layout>
      <c:barChart>
        <c:barDir val="col"/>
        <c:grouping val="clustered"/>
        <c:ser>
          <c:idx val="1"/>
          <c:order val="0"/>
          <c:tx>
            <c:strRef>
              <c:f>'Datos '!$I$633</c:f>
              <c:strCache>
                <c:ptCount val="1"/>
                <c:pt idx="0">
                  <c:v>Servicios Personales</c:v>
                </c:pt>
              </c:strCache>
            </c:strRef>
          </c:tx>
          <c:spPr>
            <a:solidFill>
              <a:srgbClr val="339933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0813539724288635E-4"/>
                  <c:y val="1.263045509141876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0813539724286532E-4"/>
                  <c:y val="-5.2897370879487924E-3"/>
                </c:manualLayout>
              </c:layout>
              <c:dLblPos val="outEnd"/>
              <c:showVal val="1"/>
            </c:dLbl>
            <c:dLbl>
              <c:idx val="2"/>
              <c:dLblPos val="outEnd"/>
              <c:showVal val="1"/>
            </c:dLbl>
            <c:dLbl>
              <c:idx val="3"/>
              <c:dLblPos val="outEnd"/>
              <c:showVal val="1"/>
            </c:dLbl>
            <c:dLbl>
              <c:idx val="4"/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'!$L$633:$M$633</c:f>
            </c:numRef>
          </c:val>
        </c:ser>
        <c:ser>
          <c:idx val="0"/>
          <c:order val="1"/>
          <c:tx>
            <c:strRef>
              <c:f>'Datos '!$I$634</c:f>
              <c:strCache>
                <c:ptCount val="1"/>
                <c:pt idx="0">
                  <c:v>Materiales y Suministros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'!$L$634:$M$634</c:f>
            </c:numRef>
          </c:val>
        </c:ser>
        <c:ser>
          <c:idx val="2"/>
          <c:order val="2"/>
          <c:tx>
            <c:strRef>
              <c:f>'Datos '!$I$635</c:f>
              <c:strCache>
                <c:ptCount val="1"/>
                <c:pt idx="0">
                  <c:v>Servicios Generales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'!$L$635:$M$635</c:f>
            </c:numRef>
          </c:val>
        </c:ser>
        <c:ser>
          <c:idx val="3"/>
          <c:order val="3"/>
          <c:tx>
            <c:strRef>
              <c:f>'Datos '!$I$636</c:f>
              <c:strCache>
                <c:ptCount val="1"/>
                <c:pt idx="0">
                  <c:v>Becas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'!$L$636:$M$636</c:f>
            </c:numRef>
          </c:val>
        </c:ser>
        <c:ser>
          <c:idx val="4"/>
          <c:order val="4"/>
          <c:tx>
            <c:strRef>
              <c:f>'Datos '!$I$637</c:f>
              <c:strCache>
                <c:ptCount val="1"/>
                <c:pt idx="0">
                  <c:v>Bienes Muebles e Inmuebles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'!$L$637:$M$637</c:f>
            </c:numRef>
          </c:val>
        </c:ser>
        <c:ser>
          <c:idx val="5"/>
          <c:order val="5"/>
          <c:tx>
            <c:strRef>
              <c:f>'Datos '!$I$638</c:f>
              <c:strCache>
                <c:ptCount val="1"/>
                <c:pt idx="0">
                  <c:v>Obra Pública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'!$L$638:$M$638</c:f>
            </c:numRef>
          </c:val>
        </c:ser>
        <c:ser>
          <c:idx val="6"/>
          <c:order val="6"/>
          <c:tx>
            <c:strRef>
              <c:f>'Datos '!$I$640</c:f>
              <c:strCache>
                <c:ptCount val="1"/>
                <c:pt idx="0">
                  <c:v>Total</c:v>
                </c:pt>
              </c:strCache>
            </c:strRef>
          </c:tx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val>
            <c:numRef>
              <c:f>'Datos '!$L$640:$M$640</c:f>
            </c:numRef>
          </c:val>
        </c:ser>
        <c:dLbls>
          <c:showVal val="1"/>
        </c:dLbls>
        <c:axId val="50723840"/>
        <c:axId val="50942720"/>
      </c:barChart>
      <c:catAx>
        <c:axId val="5072384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0942720"/>
        <c:crosses val="autoZero"/>
        <c:lblAlgn val="ctr"/>
        <c:lblOffset val="100"/>
        <c:tickLblSkip val="1"/>
        <c:tickMarkSkip val="1"/>
      </c:catAx>
      <c:valAx>
        <c:axId val="50942720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</a:t>
                </a:r>
              </a:p>
            </c:rich>
          </c:tx>
          <c:layout>
            <c:manualLayout>
              <c:xMode val="edge"/>
              <c:yMode val="edge"/>
              <c:x val="0"/>
              <c:y val="0.38474576271186817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07238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1003102378490727E-2"/>
          <c:y val="3.3898305084746286E-3"/>
          <c:w val="0.24622125957110236"/>
          <c:h val="0.30132603763512888"/>
        </c:manualLayout>
      </c:layout>
      <c:spPr>
        <a:noFill/>
        <a:ln w="25400">
          <a:noFill/>
        </a:ln>
      </c:spPr>
      <c:txPr>
        <a:bodyPr/>
        <a:lstStyle/>
        <a:p>
          <a:pPr>
            <a:defRPr sz="77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4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9.4339622641509524E-2"/>
          <c:y val="0.19086460032626426"/>
          <c:w val="0.86903440621532524"/>
          <c:h val="0.31484502446982082"/>
        </c:manualLayout>
      </c:layout>
      <c:barChart>
        <c:barDir val="col"/>
        <c:grouping val="clustered"/>
        <c:ser>
          <c:idx val="1"/>
          <c:order val="0"/>
          <c:tx>
            <c:strRef>
              <c:f>'Datos '!$I$327</c:f>
              <c:strCache>
                <c:ptCount val="1"/>
                <c:pt idx="0">
                  <c:v>Industria Maquiladora de Exportación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dLbls>
            <c:dLbl>
              <c:idx val="4"/>
              <c:layout>
                <c:manualLayout>
                  <c:x val="4.2693886349669512E-4"/>
                  <c:y val="-1.9521050896370619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'!$P$326:$T$326</c:f>
              <c:strCach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</c:strCache>
            </c:strRef>
          </c:cat>
          <c:val>
            <c:numRef>
              <c:f>'Datos '!$P$327:$T$327</c:f>
              <c:numCache>
                <c:formatCode>#,##0</c:formatCode>
                <c:ptCount val="5"/>
                <c:pt idx="0">
                  <c:v>72</c:v>
                </c:pt>
                <c:pt idx="1">
                  <c:v>44</c:v>
                </c:pt>
                <c:pt idx="2" formatCode="0">
                  <c:v>84.18</c:v>
                </c:pt>
                <c:pt idx="3" formatCode="0">
                  <c:v>62</c:v>
                </c:pt>
                <c:pt idx="4" formatCode="0">
                  <c:v>83</c:v>
                </c:pt>
              </c:numCache>
            </c:numRef>
          </c:val>
        </c:ser>
        <c:ser>
          <c:idx val="0"/>
          <c:order val="1"/>
          <c:tx>
            <c:strRef>
              <c:f>'Datos '!$I$328</c:f>
              <c:strCache>
                <c:ptCount val="1"/>
                <c:pt idx="0">
                  <c:v>Mediana y Gran Empresa Nacional</c:v>
                </c:pt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dLbls>
            <c:dLbl>
              <c:idx val="4"/>
              <c:layout>
                <c:manualLayout>
                  <c:x val="3.2439896178350494E-4"/>
                  <c:y val="-1.1418393255492401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'!$P$326:$T$326</c:f>
              <c:strCach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</c:strCache>
            </c:strRef>
          </c:cat>
          <c:val>
            <c:numRef>
              <c:f>'Datos '!$P$328:$T$328</c:f>
              <c:numCache>
                <c:formatCode>#,##0</c:formatCode>
                <c:ptCount val="5"/>
                <c:pt idx="0">
                  <c:v>60</c:v>
                </c:pt>
                <c:pt idx="1">
                  <c:v>78</c:v>
                </c:pt>
                <c:pt idx="2" formatCode="0">
                  <c:v>78.08</c:v>
                </c:pt>
                <c:pt idx="3" formatCode="0">
                  <c:v>101</c:v>
                </c:pt>
                <c:pt idx="4" formatCode="0">
                  <c:v>76</c:v>
                </c:pt>
              </c:numCache>
            </c:numRef>
          </c:val>
        </c:ser>
        <c:ser>
          <c:idx val="2"/>
          <c:order val="2"/>
          <c:tx>
            <c:strRef>
              <c:f>'Datos '!$I$329</c:f>
              <c:strCache>
                <c:ptCount val="1"/>
                <c:pt idx="0">
                  <c:v>Micro y Pequeña Empresa</c:v>
                </c:pt>
              </c:strCache>
            </c:strRef>
          </c:tx>
          <c:spPr>
            <a:solidFill>
              <a:srgbClr val="999933"/>
            </a:solidFill>
            <a:ln w="25400">
              <a:noFill/>
            </a:ln>
          </c:spPr>
          <c:dLbls>
            <c:dLbl>
              <c:idx val="3"/>
              <c:layout>
                <c:manualLayout>
                  <c:x val="8.8790233074360859E-4"/>
                  <c:y val="-3.2624714732844202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219755826858797E-4"/>
                  <c:y val="-2.1913655572825615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'!$P$326:$T$326</c:f>
              <c:strCach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</c:strCache>
            </c:strRef>
          </c:cat>
          <c:val>
            <c:numRef>
              <c:f>'Datos '!$P$329:$T$329</c:f>
              <c:numCache>
                <c:formatCode>#,##0</c:formatCode>
                <c:ptCount val="5"/>
                <c:pt idx="0">
                  <c:v>42</c:v>
                </c:pt>
                <c:pt idx="1">
                  <c:v>77</c:v>
                </c:pt>
                <c:pt idx="2" formatCode="0">
                  <c:v>71.37</c:v>
                </c:pt>
                <c:pt idx="3" formatCode="0">
                  <c:v>46</c:v>
                </c:pt>
                <c:pt idx="4" formatCode="0">
                  <c:v>75</c:v>
                </c:pt>
              </c:numCache>
            </c:numRef>
          </c:val>
        </c:ser>
        <c:ser>
          <c:idx val="3"/>
          <c:order val="3"/>
          <c:tx>
            <c:strRef>
              <c:f>'Datos '!$I$330</c:f>
              <c:strCache>
                <c:ptCount val="1"/>
                <c:pt idx="0">
                  <c:v>Sector Público e Institucional</c:v>
                </c:pt>
              </c:strCache>
            </c:strRef>
          </c:tx>
          <c:spPr>
            <a:solidFill>
              <a:srgbClr val="336666"/>
            </a:solidFill>
            <a:ln w="25400">
              <a:noFill/>
            </a:ln>
          </c:spPr>
          <c:dLbls>
            <c:dLbl>
              <c:idx val="3"/>
              <c:layout>
                <c:manualLayout>
                  <c:x val="-1.4342768752129841E-3"/>
                  <c:y val="-4.8931077742525423E-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3.4491859438768712E-3"/>
                  <c:y val="-1.8813716800897401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'!$P$326:$T$326</c:f>
              <c:strCach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</c:strCache>
            </c:strRef>
          </c:cat>
          <c:val>
            <c:numRef>
              <c:f>'Datos '!$P$330:$T$330</c:f>
              <c:numCache>
                <c:formatCode>#,##0</c:formatCode>
                <c:ptCount val="5"/>
                <c:pt idx="0">
                  <c:v>7</c:v>
                </c:pt>
                <c:pt idx="1">
                  <c:v>13</c:v>
                </c:pt>
                <c:pt idx="2" formatCode="0">
                  <c:v>10.37</c:v>
                </c:pt>
                <c:pt idx="3" formatCode="0">
                  <c:v>16</c:v>
                </c:pt>
                <c:pt idx="4" formatCode="0">
                  <c:v>24</c:v>
                </c:pt>
              </c:numCache>
            </c:numRef>
          </c:val>
        </c:ser>
        <c:ser>
          <c:idx val="4"/>
          <c:order val="4"/>
          <c:tx>
            <c:strRef>
              <c:f>'Datos '!$I$331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dLbls>
            <c:dLbl>
              <c:idx val="1"/>
              <c:layout>
                <c:manualLayout>
                  <c:x val="1.4044470856237527E-3"/>
                  <c:y val="-1.968375486506344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4.0681540778546221E-3"/>
                  <c:y val="-2.6426549862343818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1824715029378587E-3"/>
                  <c:y val="-3.006940608769755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1.6264226683096621E-3"/>
                  <c:y val="-2.6316938767646002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'!$P$326:$T$326</c:f>
              <c:strCache>
                <c:ptCount val="5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</c:strCache>
            </c:strRef>
          </c:cat>
          <c:val>
            <c:numRef>
              <c:f>'Datos '!$P$331:$T$331</c:f>
              <c:numCache>
                <c:formatCode>#,##0</c:formatCode>
                <c:ptCount val="5"/>
                <c:pt idx="0">
                  <c:v>181</c:v>
                </c:pt>
                <c:pt idx="1">
                  <c:v>212</c:v>
                </c:pt>
                <c:pt idx="2">
                  <c:v>244</c:v>
                </c:pt>
                <c:pt idx="3">
                  <c:v>225</c:v>
                </c:pt>
                <c:pt idx="4">
                  <c:v>258</c:v>
                </c:pt>
              </c:numCache>
            </c:numRef>
          </c:val>
        </c:ser>
        <c:dLbls>
          <c:showVal val="1"/>
        </c:dLbls>
        <c:axId val="51046272"/>
        <c:axId val="51047808"/>
      </c:barChart>
      <c:catAx>
        <c:axId val="51046272"/>
        <c:scaling>
          <c:orientation val="minMax"/>
        </c:scaling>
        <c:axPos val="b"/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1047808"/>
        <c:crosses val="autoZero"/>
        <c:lblAlgn val="ctr"/>
        <c:lblOffset val="100"/>
        <c:tickLblSkip val="1"/>
        <c:tickMarkSkip val="1"/>
      </c:catAx>
      <c:valAx>
        <c:axId val="5104780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Número de Clientes Atendidos</a:t>
                </a:r>
              </a:p>
            </c:rich>
          </c:tx>
          <c:layout>
            <c:manualLayout>
              <c:xMode val="edge"/>
              <c:yMode val="edge"/>
              <c:x val="3.3296337402886119E-3"/>
              <c:y val="0.13703099510603789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104627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3296337402886119E-3"/>
          <c:y val="0.61500815660686114"/>
          <c:w val="0.98224195338512765"/>
          <c:h val="0.13376835236540868"/>
        </c:manualLayout>
      </c:layout>
      <c:spPr>
        <a:noFill/>
        <a:ln w="25400">
          <a:noFill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4.9944506104328532E-2"/>
          <c:y val="3.4257748776509632E-2"/>
          <c:w val="0.93784683684794667"/>
          <c:h val="0.70799347471452723"/>
        </c:manualLayout>
      </c:layout>
      <c:lineChart>
        <c:grouping val="standard"/>
        <c:ser>
          <c:idx val="0"/>
          <c:order val="0"/>
          <c:tx>
            <c:strRef>
              <c:f>'2001-2006 Indicadores'!$B$70</c:f>
              <c:strCache>
                <c:ptCount val="1"/>
                <c:pt idx="0">
                  <c:v>Artículos con arbitraje publicados en revistas de circulación internacional indexadas por investigador. Programado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1246762856085842E-2"/>
                  <c:y val="-4.7852093529092534E-3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4620791712911621E-2"/>
                  <c:y val="-2.128955740238835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6.8516463189049774E-3"/>
                  <c:y val="1.05009141394030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7950425453200181E-2"/>
                  <c:y val="-2.077215878194669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'2001-2006 Indicadores'!$E$69:$I$69</c:f>
              <c:strCach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strCache>
            </c:strRef>
          </c:cat>
          <c:val>
            <c:numRef>
              <c:f>'2001-2006 Indicadores'!$E$70:$I$70</c:f>
              <c:numCache>
                <c:formatCode>0.0</c:formatCode>
                <c:ptCount val="5"/>
                <c:pt idx="0">
                  <c:v>1.0714285714285714</c:v>
                </c:pt>
                <c:pt idx="1">
                  <c:v>1.1351351351351351</c:v>
                </c:pt>
                <c:pt idx="2">
                  <c:v>1.7027027027027026</c:v>
                </c:pt>
                <c:pt idx="3">
                  <c:v>1.9047619047619047</c:v>
                </c:pt>
                <c:pt idx="4" formatCode="General">
                  <c:v>2.1</c:v>
                </c:pt>
              </c:numCache>
            </c:numRef>
          </c:val>
        </c:ser>
        <c:ser>
          <c:idx val="1"/>
          <c:order val="1"/>
          <c:tx>
            <c:strRef>
              <c:f>'2001-2006 Indicadores'!$B$71</c:f>
              <c:strCache>
                <c:ptCount val="1"/>
                <c:pt idx="0">
                  <c:v>Artículos con arbitraje publicados en revistas de circulación internacional indexadas por investigador. Alcanzado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6796152423233513E-2"/>
                  <c:y val="-1.304252139771320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5719570847206798E-2"/>
                  <c:y val="-3.132137030995103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7950425453200181E-2"/>
                  <c:y val="-2.573051941101165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7950425453200143E-2"/>
                  <c:y val="-3.0378886162883808E-2"/>
                </c:manualLayout>
              </c:layout>
              <c:dLblPos val="r"/>
              <c:showVal val="1"/>
            </c:dLbl>
            <c:dLbl>
              <c:idx val="4"/>
              <c:delete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'2001-2006 Indicadores'!$E$69:$I$69</c:f>
              <c:strCach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strCache>
            </c:strRef>
          </c:cat>
          <c:val>
            <c:numRef>
              <c:f>'2001-2006 Indicadores'!$E$71:$I$71</c:f>
              <c:numCache>
                <c:formatCode>0.0</c:formatCode>
                <c:ptCount val="5"/>
                <c:pt idx="0">
                  <c:v>1.3611111111111112</c:v>
                </c:pt>
                <c:pt idx="1">
                  <c:v>1.6285714285714286</c:v>
                </c:pt>
                <c:pt idx="2">
                  <c:v>1.8611111111111112</c:v>
                </c:pt>
                <c:pt idx="3">
                  <c:v>2.0285714285714285</c:v>
                </c:pt>
                <c:pt idx="4" formatCode="General">
                  <c:v>2.1</c:v>
                </c:pt>
              </c:numCache>
            </c:numRef>
          </c:val>
        </c:ser>
        <c:ser>
          <c:idx val="2"/>
          <c:order val="2"/>
          <c:tx>
            <c:strRef>
              <c:f>'2001-2006 Indicadores'!$B$72</c:f>
              <c:strCache>
                <c:ptCount val="1"/>
                <c:pt idx="0">
                  <c:v>Artículos Publicados en Memorias de Congreso Internacional con arbitraje por investigador. Programado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8320384757676663E-2"/>
                  <c:y val="2.034929973068213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7.2216056233815043E-3"/>
                  <c:y val="2.050755074865233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4990751017388323E-2"/>
                  <c:y val="2.772852414655343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1661117277099503E-2"/>
                  <c:y val="1.805328983143016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6.1117277099519123E-3"/>
                  <c:y val="4.6040085119865284E-3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'2001-2006 Indicadores'!$E$69:$I$69</c:f>
              <c:strCach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strCache>
            </c:strRef>
          </c:cat>
          <c:val>
            <c:numRef>
              <c:f>'2001-2006 Indicadores'!$E$72:$I$72</c:f>
              <c:numCache>
                <c:formatCode>0.0</c:formatCode>
                <c:ptCount val="5"/>
                <c:pt idx="0">
                  <c:v>1.0238095238095237</c:v>
                </c:pt>
                <c:pt idx="1">
                  <c:v>0.97297297297297303</c:v>
                </c:pt>
                <c:pt idx="2">
                  <c:v>1.0810810810810811</c:v>
                </c:pt>
                <c:pt idx="3">
                  <c:v>1.0714285714285714</c:v>
                </c:pt>
                <c:pt idx="4" formatCode="General">
                  <c:v>1.1000000000000001</c:v>
                </c:pt>
              </c:numCache>
            </c:numRef>
          </c:val>
        </c:ser>
        <c:ser>
          <c:idx val="3"/>
          <c:order val="3"/>
          <c:tx>
            <c:strRef>
              <c:f>'2001-2006 Indicadores'!$B$73</c:f>
              <c:strCache>
                <c:ptCount val="1"/>
                <c:pt idx="0">
                  <c:v>Artículos Publicados en Memorias de Congreso Internacional con arbitraje por investigador. Alcanzado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3.3858675545689942E-2"/>
                  <c:y val="-3.733919067620689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9430262671106195E-2"/>
                  <c:y val="-3.3431383882887407E-4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0517943026267093E-2"/>
                  <c:y val="-3.675910821098423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4990751017388323E-2"/>
                  <c:y val="-3.6686662128082276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'2001-2006 Indicadores'!$E$69:$I$69</c:f>
              <c:strCach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strCache>
            </c:strRef>
          </c:cat>
          <c:val>
            <c:numRef>
              <c:f>'2001-2006 Indicadores'!$E$73:$I$73</c:f>
              <c:numCache>
                <c:formatCode>0.0</c:formatCode>
                <c:ptCount val="5"/>
                <c:pt idx="0">
                  <c:v>1.4444444444444444</c:v>
                </c:pt>
                <c:pt idx="1">
                  <c:v>1.9428571428571428</c:v>
                </c:pt>
                <c:pt idx="2">
                  <c:v>1.6388888888888888</c:v>
                </c:pt>
                <c:pt idx="3">
                  <c:v>2.4857142857142858</c:v>
                </c:pt>
                <c:pt idx="4">
                  <c:v>4</c:v>
                </c:pt>
              </c:numCache>
            </c:numRef>
          </c:val>
        </c:ser>
        <c:dLbls>
          <c:showVal val="1"/>
        </c:dLbls>
        <c:marker val="1"/>
        <c:axId val="51246976"/>
        <c:axId val="49694208"/>
      </c:lineChart>
      <c:catAx>
        <c:axId val="5124697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49694208"/>
        <c:crosses val="autoZero"/>
        <c:auto val="1"/>
        <c:lblAlgn val="ctr"/>
        <c:lblOffset val="100"/>
        <c:tickLblSkip val="1"/>
        <c:tickMarkSkip val="1"/>
      </c:catAx>
      <c:valAx>
        <c:axId val="49694208"/>
        <c:scaling>
          <c:orientation val="minMax"/>
        </c:scaling>
        <c:axPos val="l"/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12469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6592674805772871E-3"/>
          <c:y val="0.8156606851549757"/>
          <c:w val="0.99334073251943056"/>
          <c:h val="0.14355628058727782"/>
        </c:manualLayout>
      </c:layout>
      <c:spPr>
        <a:noFill/>
        <a:ln w="25400">
          <a:noFill/>
        </a:ln>
      </c:spPr>
      <c:txPr>
        <a:bodyPr/>
        <a:lstStyle/>
        <a:p>
          <a:pPr>
            <a:defRPr sz="54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9.8779134295227528E-2"/>
          <c:y val="4.2414355628058717E-2"/>
          <c:w val="0.87569367369591211"/>
          <c:h val="0.74877650897226256"/>
        </c:manualLayout>
      </c:layout>
      <c:lineChart>
        <c:grouping val="standard"/>
        <c:ser>
          <c:idx val="0"/>
          <c:order val="0"/>
          <c:tx>
            <c:strRef>
              <c:f>'2001-2006 Indicadores'!$B$77</c:f>
              <c:strCache>
                <c:ptCount val="1"/>
                <c:pt idx="0">
                  <c:v>Investigadores en el S N I. Programado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2882565594949824E-3"/>
                  <c:y val="-2.8342346276862218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0384815937963402E-2"/>
                  <c:y val="2.42552225833114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9052962441847902E-2"/>
                  <c:y val="2.429940955586100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7721108945732734E-2"/>
                  <c:y val="2.0713927887888402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Indicadores'!$E$76:$I$76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Indicadores'!$E$77:$I$77</c:f>
              <c:numCache>
                <c:formatCode>0.0</c:formatCode>
                <c:ptCount val="5"/>
                <c:pt idx="0">
                  <c:v>64.285714285714292</c:v>
                </c:pt>
                <c:pt idx="1">
                  <c:v>81.081081081081081</c:v>
                </c:pt>
                <c:pt idx="2">
                  <c:v>97.297297297297305</c:v>
                </c:pt>
                <c:pt idx="3">
                  <c:v>88.095238095238088</c:v>
                </c:pt>
                <c:pt idx="4" formatCode="General">
                  <c:v>85.7</c:v>
                </c:pt>
              </c:numCache>
            </c:numRef>
          </c:val>
        </c:ser>
        <c:ser>
          <c:idx val="1"/>
          <c:order val="1"/>
          <c:tx>
            <c:strRef>
              <c:f>'2001-2006 Indicadores'!$B$78</c:f>
              <c:strCache>
                <c:ptCount val="1"/>
                <c:pt idx="0">
                  <c:v>Investigadores en el S N I. Alcanzado</c:v>
                </c:pt>
              </c:strCache>
            </c:strRef>
          </c:tx>
          <c:spPr>
            <a:ln w="3810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8387035693790469E-2"/>
                  <c:y val="1.771349543786638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0373717158829899E-2"/>
                  <c:y val="-3.865452381258215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2.7931985749284603E-2"/>
                  <c:y val="-3.7139664230388829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8819888080027802E-2"/>
                  <c:y val="-3.550834286007888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1949743795898941E-2"/>
                  <c:y val="-3.4028079279649591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Indicadores'!$E$76:$I$76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Indicadores'!$E$78:$I$78</c:f>
              <c:numCache>
                <c:formatCode>0.0</c:formatCode>
                <c:ptCount val="5"/>
                <c:pt idx="0">
                  <c:v>80.555555555555557</c:v>
                </c:pt>
                <c:pt idx="1">
                  <c:v>97.142857142857139</c:v>
                </c:pt>
                <c:pt idx="2">
                  <c:v>100</c:v>
                </c:pt>
                <c:pt idx="3">
                  <c:v>100</c:v>
                </c:pt>
                <c:pt idx="4" formatCode="General">
                  <c:v>97.1</c:v>
                </c:pt>
              </c:numCache>
            </c:numRef>
          </c:val>
        </c:ser>
        <c:dLbls>
          <c:showVal val="1"/>
        </c:dLbls>
        <c:marker val="1"/>
        <c:axId val="51595904"/>
        <c:axId val="51601792"/>
      </c:lineChart>
      <c:catAx>
        <c:axId val="5159590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1601792"/>
        <c:crosses val="autoZero"/>
        <c:auto val="1"/>
        <c:lblAlgn val="ctr"/>
        <c:lblOffset val="100"/>
        <c:tickLblSkip val="1"/>
        <c:tickMarkSkip val="1"/>
      </c:catAx>
      <c:valAx>
        <c:axId val="5160179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 con relación al total de investigadores</a:t>
                </a:r>
              </a:p>
            </c:rich>
          </c:tx>
          <c:layout>
            <c:manualLayout>
              <c:xMode val="edge"/>
              <c:yMode val="edge"/>
              <c:x val="1.1098779134295301E-3"/>
              <c:y val="4.8939641109298814E-3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15959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3296337402886119E-3"/>
          <c:y val="0.88743882544861341"/>
          <c:w val="0.99112097669256383"/>
          <c:h val="7.177814029361984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7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9.7669256381798006E-2"/>
          <c:y val="4.4045676998368734E-2"/>
          <c:w val="0.90233074361820198"/>
          <c:h val="0.80913539967373571"/>
        </c:manualLayout>
      </c:layout>
      <c:lineChart>
        <c:grouping val="standard"/>
        <c:ser>
          <c:idx val="0"/>
          <c:order val="0"/>
          <c:tx>
            <c:strRef>
              <c:f>'2001-2006 Indicadores'!$B$89</c:f>
              <c:strCache>
                <c:ptCount val="1"/>
                <c:pt idx="0">
                  <c:v>Eficiencia Terminal Maestría. Programado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167649826237121E-2"/>
                  <c:y val="-2.943623074848107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9866872911696323E-2"/>
                  <c:y val="-3.100075785795987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2.6082189226901586E-2"/>
                  <c:y val="-3.930294194465498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8.9900693600868647E-3"/>
                  <c:y val="-2.6173588007861192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Indicadores'!$D$88:$H$88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Indicadores'!$D$89:$H$89</c:f>
              <c:numCache>
                <c:formatCode>0.0</c:formatCode>
                <c:ptCount val="5"/>
                <c:pt idx="0">
                  <c:v>72.222222222222214</c:v>
                </c:pt>
                <c:pt idx="1">
                  <c:v>63.157894736842103</c:v>
                </c:pt>
                <c:pt idx="2">
                  <c:v>78.260869565217391</c:v>
                </c:pt>
                <c:pt idx="3">
                  <c:v>72.222222222222214</c:v>
                </c:pt>
                <c:pt idx="4" formatCode="General">
                  <c:v>69.7</c:v>
                </c:pt>
              </c:numCache>
            </c:numRef>
          </c:val>
        </c:ser>
        <c:ser>
          <c:idx val="1"/>
          <c:order val="1"/>
          <c:tx>
            <c:strRef>
              <c:f>'2001-2006 Indicadores'!$B$90</c:f>
              <c:strCache>
                <c:ptCount val="1"/>
                <c:pt idx="0">
                  <c:v>Eficiencia Terminal Maestría. Alcanzado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9167649826237121E-2"/>
                  <c:y val="6.996613188441355E-3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097675082512581E-2"/>
                  <c:y val="2.068635384687845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9.4340205254586727E-3"/>
                  <c:y val="1.50269960137527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8.9900693600868647E-3"/>
                  <c:y val="-2.0192076316724684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Indicadores'!$D$88:$H$88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Indicadores'!$D$90:$H$90</c:f>
              <c:numCache>
                <c:formatCode>0.0</c:formatCode>
                <c:ptCount val="5"/>
                <c:pt idx="0">
                  <c:v>55.555555555555557</c:v>
                </c:pt>
                <c:pt idx="1">
                  <c:v>47.368421052631575</c:v>
                </c:pt>
                <c:pt idx="2">
                  <c:v>65.217391304347828</c:v>
                </c:pt>
                <c:pt idx="3">
                  <c:v>88.888888888888886</c:v>
                </c:pt>
                <c:pt idx="4" formatCode="General">
                  <c:v>69.7</c:v>
                </c:pt>
              </c:numCache>
            </c:numRef>
          </c:val>
        </c:ser>
        <c:ser>
          <c:idx val="2"/>
          <c:order val="2"/>
          <c:tx>
            <c:strRef>
              <c:f>'2001-2006 Indicadores'!$B$91</c:f>
              <c:strCache>
                <c:ptCount val="1"/>
                <c:pt idx="0">
                  <c:v>Eficiencia Terminal Doctorado. Programado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8057771912807183E-2"/>
                  <c:y val="-2.1642196846112041E-2"/>
                </c:manualLayout>
              </c:layout>
              <c:dLblPos val="r"/>
              <c:showVal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Indicadores'!$D$88:$H$88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Indicadores'!$D$91:$H$91</c:f>
              <c:numCache>
                <c:formatCode>0.0</c:formatCode>
                <c:ptCount val="5"/>
                <c:pt idx="0">
                  <c:v>56.25</c:v>
                </c:pt>
                <c:pt idx="1">
                  <c:v>58.333333333333336</c:v>
                </c:pt>
                <c:pt idx="2">
                  <c:v>76.19047619047619</c:v>
                </c:pt>
                <c:pt idx="3">
                  <c:v>69.230769230769226</c:v>
                </c:pt>
                <c:pt idx="4" formatCode="General">
                  <c:v>73.3</c:v>
                </c:pt>
              </c:numCache>
            </c:numRef>
          </c:val>
        </c:ser>
        <c:ser>
          <c:idx val="3"/>
          <c:order val="3"/>
          <c:tx>
            <c:strRef>
              <c:f>'2001-2006 Indicadores'!$B$92</c:f>
              <c:strCache>
                <c:ptCount val="1"/>
                <c:pt idx="0">
                  <c:v>Eficiencia Terminal Doctorado. Alcanzado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11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delete val="1"/>
            </c:dLbl>
            <c:dLbl>
              <c:idx val="1"/>
              <c:layout>
                <c:manualLayout>
                  <c:x val="-6.9182972550186012E-3"/>
                  <c:y val="9.8966829798806909E-3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3133613570223525E-2"/>
                  <c:y val="-3.1973898858075701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1579784491422445E-2"/>
                  <c:y val="1.976818966144778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Indicadores'!$D$88:$H$88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Indicadores'!$D$92:$H$92</c:f>
              <c:numCache>
                <c:formatCode>0.0</c:formatCode>
                <c:ptCount val="5"/>
                <c:pt idx="0">
                  <c:v>56.25</c:v>
                </c:pt>
                <c:pt idx="1">
                  <c:v>58.333333333333336</c:v>
                </c:pt>
                <c:pt idx="2">
                  <c:v>66.666666666666657</c:v>
                </c:pt>
                <c:pt idx="3">
                  <c:v>69.230769230769226</c:v>
                </c:pt>
                <c:pt idx="4" formatCode="General">
                  <c:v>53.3</c:v>
                </c:pt>
              </c:numCache>
            </c:numRef>
          </c:val>
        </c:ser>
        <c:dLbls>
          <c:showVal val="1"/>
        </c:dLbls>
        <c:marker val="1"/>
        <c:axId val="51675520"/>
        <c:axId val="51677056"/>
      </c:lineChart>
      <c:catAx>
        <c:axId val="5167552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1677056"/>
        <c:crosses val="autoZero"/>
        <c:auto val="1"/>
        <c:lblAlgn val="ctr"/>
        <c:lblOffset val="100"/>
        <c:tickLblSkip val="1"/>
        <c:tickMarkSkip val="1"/>
      </c:catAx>
      <c:valAx>
        <c:axId val="5167705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5.5493895671476137E-3"/>
              <c:y val="0.36215334420880912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1675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8534961154272E-2"/>
          <c:y val="0.9184339314845027"/>
          <c:w val="0.98668146503884568"/>
          <c:h val="8.1566068515498691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userShapes r:id="rId1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9.7669256381798006E-2"/>
          <c:y val="2.9363784665579151E-2"/>
          <c:w val="0.90122086570477244"/>
          <c:h val="0.87112561174552472"/>
        </c:manualLayout>
      </c:layout>
      <c:lineChart>
        <c:grouping val="standard"/>
        <c:ser>
          <c:idx val="0"/>
          <c:order val="0"/>
          <c:tx>
            <c:strRef>
              <c:f>'2001-2006 Indicadores'!$B$96</c:f>
              <c:strCache>
                <c:ptCount val="1"/>
                <c:pt idx="0">
                  <c:v>(Recursos Autogenerados+Ingresos Diversos)    /    (Ingresos Fiscales +Recursos Autogenerados +Ingresos Diversos) x  100. Programado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3170551239364064E-2"/>
                  <c:y val="-3.7828158918960596E-2"/>
                </c:manualLayout>
              </c:layout>
              <c:dLblPos val="r"/>
              <c:showVal val="1"/>
            </c:dLbl>
            <c:dLbl>
              <c:idx val="1"/>
              <c:delete val="1"/>
            </c:dLbl>
            <c:dLbl>
              <c:idx val="2"/>
              <c:layout>
                <c:manualLayout>
                  <c:x val="-1.2948575656678118E-2"/>
                  <c:y val="1.9624325099656618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6711061783204221E-2"/>
                  <c:y val="-5.331963194649788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8.2870884202737739E-3"/>
                  <c:y val="3.7903174011895179E-3"/>
                </c:manualLayout>
              </c:layout>
              <c:dLblPos val="r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Indicadores'!$E$95:$I$95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Indicadores'!$E$96:$I$96</c:f>
              <c:numCache>
                <c:formatCode>0.0</c:formatCode>
                <c:ptCount val="5"/>
                <c:pt idx="0">
                  <c:v>7.0827381865829331</c:v>
                </c:pt>
                <c:pt idx="1">
                  <c:v>9.2467690701013883</c:v>
                </c:pt>
                <c:pt idx="2">
                  <c:v>12.281110381773139</c:v>
                </c:pt>
                <c:pt idx="3">
                  <c:v>13.301964521476716</c:v>
                </c:pt>
                <c:pt idx="4" formatCode="General">
                  <c:v>16.100000000000001</c:v>
                </c:pt>
              </c:numCache>
            </c:numRef>
          </c:val>
        </c:ser>
        <c:ser>
          <c:idx val="1"/>
          <c:order val="1"/>
          <c:tx>
            <c:strRef>
              <c:f>'2001-2006 Indicadores'!$B$97</c:f>
              <c:strCache>
                <c:ptCount val="1"/>
                <c:pt idx="0">
                  <c:v>(Recursos Autogenerados+Ingresos Diversos)   /   (Ingresos Fiscales +Recursos Autogenerados +Ingresos Diversos) x  100. Alcanzado</c:v>
                </c:pt>
              </c:strCache>
            </c:strRef>
          </c:tx>
          <c:spPr>
            <a:ln w="381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2.1383647798742206E-2"/>
                  <c:y val="-5.965001519997600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2.7376988531261512E-2"/>
                  <c:y val="-5.530873078059381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6.7332593414725509E-3"/>
                  <c:y val="1.289163487516754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1605623381428012E-2"/>
                  <c:y val="-3.8732792984889942E-2"/>
                </c:manualLayout>
              </c:layout>
              <c:dLblPos val="r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Indicadores'!$E$95:$I$95</c:f>
              <c:numCache>
                <c:formatCode>General</c:formatCode>
                <c:ptCount val="5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</c:numCache>
            </c:numRef>
          </c:cat>
          <c:val>
            <c:numRef>
              <c:f>'2001-2006 Indicadores'!$E$97:$I$97</c:f>
              <c:numCache>
                <c:formatCode>0.0</c:formatCode>
                <c:ptCount val="5"/>
                <c:pt idx="0">
                  <c:v>6.3976693061276766</c:v>
                </c:pt>
                <c:pt idx="1">
                  <c:v>9.1936317807746999</c:v>
                </c:pt>
                <c:pt idx="2">
                  <c:v>12.350751823730832</c:v>
                </c:pt>
                <c:pt idx="3">
                  <c:v>12.984690253559709</c:v>
                </c:pt>
                <c:pt idx="4" formatCode="General">
                  <c:v>13.3</c:v>
                </c:pt>
              </c:numCache>
            </c:numRef>
          </c:val>
        </c:ser>
        <c:dLbls>
          <c:showVal val="1"/>
        </c:dLbls>
        <c:marker val="1"/>
        <c:axId val="51884416"/>
        <c:axId val="51885952"/>
      </c:lineChart>
      <c:catAx>
        <c:axId val="5188441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1885952"/>
        <c:crosses val="autoZero"/>
        <c:auto val="1"/>
        <c:lblAlgn val="ctr"/>
        <c:lblOffset val="100"/>
        <c:tickLblSkip val="1"/>
        <c:tickMarkSkip val="1"/>
      </c:catAx>
      <c:valAx>
        <c:axId val="5188595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6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0"/>
              <c:y val="0.37030995106036374"/>
            </c:manualLayout>
          </c:layout>
          <c:spPr>
            <a:noFill/>
            <a:ln w="25400">
              <a:noFill/>
            </a:ln>
          </c:spPr>
        </c:title>
        <c:numFmt formatCode="0.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1884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65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egendEntry>
        <c:idx val="1"/>
        <c:txPr>
          <a:bodyPr/>
          <a:lstStyle/>
          <a:p>
            <a:pPr>
              <a:defRPr sz="65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</c:legendEntry>
      <c:layout>
        <c:manualLayout>
          <c:xMode val="edge"/>
          <c:yMode val="edge"/>
          <c:x val="0.46836847946726712"/>
          <c:y val="0.51876019575856447"/>
          <c:w val="0.49389567147613322"/>
          <c:h val="0.2675367047308323"/>
        </c:manualLayout>
      </c:layout>
      <c:spPr>
        <a:noFill/>
        <a:ln w="25400">
          <a:noFill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view3D>
      <c:rotX val="0"/>
      <c:hPercent val="100"/>
      <c:rotY val="32"/>
      <c:depthPercent val="100"/>
      <c:perspective val="30"/>
    </c:view3D>
    <c:floor>
      <c:spPr>
        <a:solidFill>
          <a:srgbClr val="C0C0C0"/>
        </a:solidFill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9.5449500554938949E-2"/>
          <c:y val="4.8939641109298814E-3"/>
          <c:w val="0.90344062153163152"/>
          <c:h val="0.86623164763460081"/>
        </c:manualLayout>
      </c:layout>
      <c:bar3DChart>
        <c:barDir val="col"/>
        <c:grouping val="standard"/>
        <c:ser>
          <c:idx val="0"/>
          <c:order val="0"/>
          <c:tx>
            <c:strRef>
              <c:f>'2001-2006 Indicadores'!$B$106</c:f>
              <c:strCache>
                <c:ptCount val="1"/>
                <c:pt idx="0">
                  <c:v>Programas de posgrado en PIFOP o PNP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0623192078792696E-2"/>
                  <c:y val="-5.8879997259722913E-2"/>
                </c:manualLayout>
              </c:layout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Indicadores'!$E$105</c:f>
              <c:numCache>
                <c:formatCode>General</c:formatCode>
                <c:ptCount val="1"/>
                <c:pt idx="0">
                  <c:v>2007</c:v>
                </c:pt>
              </c:numCache>
            </c:numRef>
          </c:cat>
          <c:val>
            <c:numRef>
              <c:f>'2001-2006 Indicadores'!$E$106</c:f>
              <c:numCache>
                <c:formatCode>General</c:formatCode>
                <c:ptCount val="1"/>
                <c:pt idx="0">
                  <c:v>0.75</c:v>
                </c:pt>
              </c:numCache>
            </c:numRef>
          </c:val>
        </c:ser>
        <c:dLbls>
          <c:showVal val="1"/>
        </c:dLbls>
        <c:shape val="box"/>
        <c:axId val="50535808"/>
        <c:axId val="50553984"/>
        <c:axId val="51686464"/>
      </c:bar3DChart>
      <c:catAx>
        <c:axId val="50535808"/>
        <c:scaling>
          <c:orientation val="minMax"/>
        </c:scaling>
        <c:axPos val="b"/>
        <c:numFmt formatCode="General" sourceLinked="1"/>
        <c:maj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055398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0553984"/>
        <c:scaling>
          <c:orientation val="minMax"/>
          <c:max val="1"/>
        </c:scaling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 de programas </a:t>
                </a:r>
              </a:p>
            </c:rich>
          </c:tx>
          <c:layout>
            <c:manualLayout>
              <c:xMode val="edge"/>
              <c:yMode val="edge"/>
              <c:x val="0.11431742508324086"/>
              <c:y val="0.27732463295269855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0535808"/>
        <c:crosses val="autoZero"/>
        <c:crossBetween val="between"/>
        <c:majorUnit val="0.5"/>
      </c:valAx>
      <c:serAx>
        <c:axId val="51686464"/>
        <c:scaling>
          <c:orientation val="minMax"/>
        </c:scaling>
        <c:axPos val="b"/>
        <c:numFmt formatCode="General" sourceLinked="1"/>
        <c:maj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0553984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099889012208645"/>
          <c:y val="0.21207177814029371"/>
          <c:w val="0.89900110987790216"/>
          <c:h val="0.51767264817835779"/>
        </c:manualLayout>
      </c:layout>
      <c:barChart>
        <c:barDir val="col"/>
        <c:grouping val="clustered"/>
        <c:ser>
          <c:idx val="0"/>
          <c:order val="0"/>
          <c:tx>
            <c:strRef>
              <c:f>'Datos '!$I$115:$K$115</c:f>
              <c:strCache>
                <c:ptCount val="1"/>
                <c:pt idx="0">
                  <c:v>Nacionales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3.8475767665557305E-4"/>
                  <c:y val="5.826172217869186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847576766555679E-4"/>
                  <c:y val="6.571870196486493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6045135035146012E-3"/>
                  <c:y val="3.6820764451751852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8349981502035443E-3"/>
                  <c:y val="1.351641811494614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3.8475767665563517E-4"/>
                  <c:y val="-4.8007946804365913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8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'!$L$114:$P$114</c:f>
            </c:multiLvlStrRef>
          </c:cat>
          <c:val>
            <c:numRef>
              <c:f>'Datos '!$L$115:$P$115</c:f>
            </c:numRef>
          </c:val>
        </c:ser>
        <c:ser>
          <c:idx val="1"/>
          <c:order val="1"/>
          <c:tx>
            <c:strRef>
              <c:f>'Datos '!$I$116:$K$116</c:f>
              <c:strCache>
                <c:ptCount val="1"/>
                <c:pt idx="0">
                  <c:v>Internacionales</c:v>
                </c:pt>
              </c:strCache>
            </c:strRef>
          </c:tx>
          <c:spPr>
            <a:solidFill>
              <a:srgbClr val="00B0F0"/>
            </a:solidFill>
          </c:spPr>
          <c:dLbls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'!$L$114:$P$114</c:f>
            </c:multiLvlStrRef>
          </c:cat>
          <c:val>
            <c:numRef>
              <c:f>'Datos '!$L$116:$P$116</c:f>
            </c:numRef>
          </c:val>
        </c:ser>
        <c:dLbls>
          <c:showVal val="1"/>
        </c:dLbls>
        <c:axId val="129380352"/>
        <c:axId val="129381888"/>
      </c:barChart>
      <c:catAx>
        <c:axId val="129380352"/>
        <c:scaling>
          <c:orientation val="minMax"/>
        </c:scaling>
        <c:axPos val="b"/>
        <c:numFmt formatCode="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9381888"/>
        <c:crosses val="autoZero"/>
        <c:auto val="1"/>
        <c:lblAlgn val="ctr"/>
        <c:lblOffset val="100"/>
        <c:tickLblSkip val="1"/>
        <c:tickMarkSkip val="1"/>
      </c:catAx>
      <c:valAx>
        <c:axId val="12938188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Capítulos</a:t>
                </a:r>
              </a:p>
            </c:rich>
          </c:tx>
          <c:layout>
            <c:manualLayout>
              <c:xMode val="edge"/>
              <c:yMode val="edge"/>
              <c:x val="0"/>
              <c:y val="0.30995106035889614"/>
            </c:manualLayout>
          </c:layout>
          <c:spPr>
            <a:noFill/>
            <a:ln w="25400">
              <a:noFill/>
            </a:ln>
          </c:spPr>
        </c:title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93803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3068826995960887"/>
          <c:y val="0.11092985318107668"/>
          <c:w val="0.39485715783862646"/>
          <c:h val="4.9614263143697594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99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view3D>
      <c:rotX val="10"/>
      <c:hPercent val="100"/>
      <c:rotY val="18"/>
      <c:depthPercent val="100"/>
      <c:perspective val="30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7.8801331853497456E-2"/>
          <c:y val="4.0783034257750136E-2"/>
          <c:w val="0.62486126526082164"/>
          <c:h val="0.83523654159869498"/>
        </c:manualLayout>
      </c:layout>
      <c:bar3DChart>
        <c:barDir val="col"/>
        <c:grouping val="standard"/>
        <c:ser>
          <c:idx val="0"/>
          <c:order val="0"/>
          <c:tx>
            <c:strRef>
              <c:f>'2001-2006 Indicadores'!$B$103</c:f>
              <c:strCache>
                <c:ptCount val="1"/>
                <c:pt idx="0">
                  <c:v>Investigadores en formación de recursos humanos/ Total de Investigadores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6.1667263845072033E-2"/>
                  <c:y val="-4.997546595419455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2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Indicadores'!$C$102</c:f>
              <c:numCache>
                <c:formatCode>General</c:formatCode>
                <c:ptCount val="1"/>
                <c:pt idx="0">
                  <c:v>2005</c:v>
                </c:pt>
              </c:numCache>
            </c:numRef>
          </c:cat>
          <c:val>
            <c:numRef>
              <c:f>'2001-2006 Indicadores'!$C$103</c:f>
              <c:numCache>
                <c:formatCode>0.000</c:formatCode>
                <c:ptCount val="1"/>
                <c:pt idx="0">
                  <c:v>0.97222222222222221</c:v>
                </c:pt>
              </c:numCache>
            </c:numRef>
          </c:val>
        </c:ser>
        <c:dLbls>
          <c:showVal val="1"/>
        </c:dLbls>
        <c:shape val="box"/>
        <c:axId val="50584576"/>
        <c:axId val="50590464"/>
        <c:axId val="51832128"/>
      </c:bar3DChart>
      <c:catAx>
        <c:axId val="5058457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0590464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50590464"/>
        <c:scaling>
          <c:orientation val="minMax"/>
        </c:scaling>
        <c:axPos val="l"/>
        <c:numFmt formatCode="0.0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0584576"/>
        <c:crosses val="autoZero"/>
        <c:crossBetween val="between"/>
      </c:valAx>
      <c:serAx>
        <c:axId val="51832128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0590464"/>
        <c:crosses val="autoZero"/>
        <c:tickLblSkip val="1"/>
        <c:tickMarkSkip val="1"/>
      </c:ser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5.1054384017758053E-2"/>
          <c:y val="3.7520391517128882E-2"/>
          <c:w val="0.94894561598224192"/>
          <c:h val="0.77487765089722671"/>
        </c:manualLayout>
      </c:layout>
      <c:lineChart>
        <c:grouping val="standard"/>
        <c:ser>
          <c:idx val="0"/>
          <c:order val="0"/>
          <c:tx>
            <c:strRef>
              <c:f>'2001-2006 Indicadores'!$B$83</c:f>
              <c:strCache>
                <c:ptCount val="1"/>
                <c:pt idx="0">
                  <c:v>Tiempo de Graduación Maestría. Programado</c:v>
                </c:pt>
              </c:strCache>
            </c:strRef>
          </c:tx>
          <c:spPr>
            <a:ln w="38100">
              <a:solidFill>
                <a:srgbClr val="C0C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C0C0FF"/>
              </a:solidFill>
              <a:ln>
                <a:solidFill>
                  <a:srgbClr val="C0C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6833206614988921E-2"/>
                  <c:y val="2.164236811344761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6833206614988865E-2"/>
                  <c:y val="-2.7297272995851499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7.9541833075527073E-3"/>
                  <c:y val="2.0011046743137532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0162840355277403E-2"/>
                  <c:y val="1.8107752844108187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9.2483999988351951E-4"/>
                  <c:y val="6.1598009873561534E-3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Indicadores'!$C$82:$G$82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'2001-2006 Indicadores'!$C$83:$G$83</c:f>
              <c:numCache>
                <c:formatCode>0.0</c:formatCode>
                <c:ptCount val="5"/>
                <c:pt idx="0" formatCode="General">
                  <c:v>2.6</c:v>
                </c:pt>
                <c:pt idx="1">
                  <c:v>2.6</c:v>
                </c:pt>
                <c:pt idx="2">
                  <c:v>2.6</c:v>
                </c:pt>
                <c:pt idx="3">
                  <c:v>2.8</c:v>
                </c:pt>
                <c:pt idx="4">
                  <c:v>2.9222222222222225</c:v>
                </c:pt>
              </c:numCache>
            </c:numRef>
          </c:val>
        </c:ser>
        <c:ser>
          <c:idx val="1"/>
          <c:order val="1"/>
          <c:tx>
            <c:strRef>
              <c:f>'2001-2006 Indicadores'!$B$84</c:f>
              <c:strCache>
                <c:ptCount val="1"/>
                <c:pt idx="0">
                  <c:v>Tiempo de Graduación Maestría. Alcanzado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1283817047841305E-2"/>
                  <c:y val="-2.543302804930789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6.8443053941232134E-3"/>
                  <c:y val="2.229934961229426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4613450788129811E-2"/>
                  <c:y val="-2.553013662851705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0162840355277403E-2"/>
                  <c:y val="-2.031898541230479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3503572874700383E-2"/>
                  <c:y val="-2.9326790921118537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Indicadores'!$C$82:$G$82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'2001-2006 Indicadores'!$C$84:$G$84</c:f>
              <c:numCache>
                <c:formatCode>0.0</c:formatCode>
                <c:ptCount val="5"/>
                <c:pt idx="0">
                  <c:v>2.7028571428571433</c:v>
                </c:pt>
                <c:pt idx="1">
                  <c:v>2.5166666666666666</c:v>
                </c:pt>
                <c:pt idx="2">
                  <c:v>2.98</c:v>
                </c:pt>
                <c:pt idx="3">
                  <c:v>2.9066666666666667</c:v>
                </c:pt>
                <c:pt idx="4">
                  <c:v>3.0642857142857141</c:v>
                </c:pt>
              </c:numCache>
            </c:numRef>
          </c:val>
        </c:ser>
        <c:ser>
          <c:idx val="2"/>
          <c:order val="2"/>
          <c:tx>
            <c:strRef>
              <c:f>'2001-2006 Indicadores'!$B$85</c:f>
              <c:strCache>
                <c:ptCount val="1"/>
                <c:pt idx="0">
                  <c:v>Tiempo de Graduación Doctorado. Programado</c:v>
                </c:pt>
              </c:strCache>
            </c:strRef>
          </c:tx>
          <c:spPr>
            <a:ln w="38100">
              <a:solidFill>
                <a:srgbClr val="A0E0E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A0E0E0"/>
              </a:solidFill>
              <a:ln>
                <a:solidFill>
                  <a:srgbClr val="A0E0E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1283817047841305E-2"/>
                  <c:y val="-2.641370481218401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1283817047841241E-2"/>
                  <c:y val="-2.8520806840417388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5.7344274806937828E-3"/>
                  <c:y val="1.905931415995513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0162840355277403E-2"/>
                  <c:y val="-1.8461077357173821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6.8443053941232134E-3"/>
                  <c:y val="-1.6149995932400789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Indicadores'!$C$82:$G$82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'2001-2006 Indicadores'!$C$85:$G$85</c:f>
              <c:numCache>
                <c:formatCode>0.0</c:formatCode>
                <c:ptCount val="5"/>
                <c:pt idx="0">
                  <c:v>4.83</c:v>
                </c:pt>
                <c:pt idx="1">
                  <c:v>4.7</c:v>
                </c:pt>
                <c:pt idx="2">
                  <c:v>4.5</c:v>
                </c:pt>
                <c:pt idx="3">
                  <c:v>4.5</c:v>
                </c:pt>
                <c:pt idx="4">
                  <c:v>4.4800000000000004</c:v>
                </c:pt>
              </c:numCache>
            </c:numRef>
          </c:val>
        </c:ser>
        <c:ser>
          <c:idx val="3"/>
          <c:order val="3"/>
          <c:tx>
            <c:strRef>
              <c:f>'2001-2006 Indicadores'!$B$86</c:f>
              <c:strCache>
                <c:ptCount val="1"/>
                <c:pt idx="0">
                  <c:v>Tiempo de Graduación Doctorado. Alcanzado</c:v>
                </c:pt>
              </c:strCache>
            </c:strRef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33"/>
              </a:solidFill>
              <a:ln>
                <a:solidFill>
                  <a:srgbClr val="339933"/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2.2382596182136439E-2"/>
                  <c:y val="-2.0817373358510076E-2"/>
                </c:manualLayout>
              </c:layout>
              <c:dLblPos val="r"/>
              <c:showVal val="1"/>
            </c:dLbl>
            <c:dLbl>
              <c:idx val="3"/>
              <c:delete val="1"/>
            </c:dLbl>
            <c:dLbl>
              <c:idx val="4"/>
              <c:layout>
                <c:manualLayout>
                  <c:x val="-1.2949158269755878E-3"/>
                  <c:y val="9.1878074783881755E-3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Indicadores'!$C$82:$G$82</c:f>
              <c:numCache>
                <c:formatCode>General</c:formatCode>
                <c:ptCount val="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</c:numCache>
            </c:numRef>
          </c:cat>
          <c:val>
            <c:numRef>
              <c:f>'2001-2006 Indicadores'!$C$86:$G$86</c:f>
              <c:numCache>
                <c:formatCode>0.0</c:formatCode>
                <c:ptCount val="5"/>
                <c:pt idx="0">
                  <c:v>3.5840000000000005</c:v>
                </c:pt>
                <c:pt idx="1">
                  <c:v>4.2272727272727275</c:v>
                </c:pt>
                <c:pt idx="2">
                  <c:v>4.8733333333333331</c:v>
                </c:pt>
                <c:pt idx="3">
                  <c:v>4.4666666666666668</c:v>
                </c:pt>
                <c:pt idx="4">
                  <c:v>4.2846153846153845</c:v>
                </c:pt>
              </c:numCache>
            </c:numRef>
          </c:val>
        </c:ser>
        <c:dLbls>
          <c:showVal val="1"/>
        </c:dLbls>
        <c:marker val="1"/>
        <c:axId val="50595328"/>
        <c:axId val="50596480"/>
      </c:lineChart>
      <c:catAx>
        <c:axId val="5059532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0596480"/>
        <c:crosses val="autoZero"/>
        <c:auto val="1"/>
        <c:lblAlgn val="ctr"/>
        <c:lblOffset val="100"/>
        <c:tickLblSkip val="1"/>
        <c:tickMarkSkip val="1"/>
      </c:catAx>
      <c:valAx>
        <c:axId val="50596480"/>
        <c:scaling>
          <c:orientation val="minMax"/>
        </c:scaling>
        <c:axPos val="l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05953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6.6592674805772871E-3"/>
          <c:y val="0.90048939641109293"/>
          <c:w val="0.99334073251942689"/>
          <c:h val="9.9510603588907065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6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view3D>
      <c:rotX val="20"/>
      <c:hPercent val="68"/>
      <c:rotY val="26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0532741398446194"/>
          <c:y val="1.6313213703099506E-2"/>
          <c:w val="0.62264150943397134"/>
          <c:h val="0.64437194127243069"/>
        </c:manualLayout>
      </c:layout>
      <c:bar3DChart>
        <c:barDir val="col"/>
        <c:grouping val="clustered"/>
        <c:ser>
          <c:idx val="0"/>
          <c:order val="0"/>
          <c:tx>
            <c:strRef>
              <c:f>'2001-2006 Indicadores'!$B$103</c:f>
              <c:strCache>
                <c:ptCount val="1"/>
                <c:pt idx="0">
                  <c:v>Investigadores en formación de recursos humanos/ Total de Investigadores</c:v>
                </c:pt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3.7716040211954655E-2"/>
                  <c:y val="-7.52692536597689E-2"/>
                </c:manualLayout>
              </c:layout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Indicadores'!$C$102</c:f>
              <c:numCache>
                <c:formatCode>General</c:formatCode>
                <c:ptCount val="1"/>
                <c:pt idx="0">
                  <c:v>2005</c:v>
                </c:pt>
              </c:numCache>
            </c:numRef>
          </c:cat>
          <c:val>
            <c:numRef>
              <c:f>'2001-2006 Indicadores'!$C$103</c:f>
              <c:numCache>
                <c:formatCode>0.000</c:formatCode>
                <c:ptCount val="1"/>
                <c:pt idx="0">
                  <c:v>0.97222222222222221</c:v>
                </c:pt>
              </c:numCache>
            </c:numRef>
          </c:val>
        </c:ser>
        <c:ser>
          <c:idx val="1"/>
          <c:order val="1"/>
          <c:tx>
            <c:strRef>
              <c:f>'2001-2006 Indicadores'!$B$106</c:f>
              <c:strCache>
                <c:ptCount val="1"/>
                <c:pt idx="0">
                  <c:v>Programas de posgrado en PIFOP o PNP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3.8627247065815613E-2"/>
                  <c:y val="-7.5636622094342923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MX"/>
                </a:p>
              </c:txPr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'2001-2006 Indicadores'!$C$102</c:f>
              <c:numCache>
                <c:formatCode>General</c:formatCode>
                <c:ptCount val="1"/>
                <c:pt idx="0">
                  <c:v>2005</c:v>
                </c:pt>
              </c:numCache>
            </c:numRef>
          </c:cat>
          <c:val>
            <c:numRef>
              <c:f>'2001-2006 Indicadores'!$C$106</c:f>
              <c:numCache>
                <c:formatCode>0.0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shape val="box"/>
        <c:axId val="52441856"/>
        <c:axId val="52443392"/>
        <c:axId val="0"/>
      </c:bar3DChart>
      <c:catAx>
        <c:axId val="5244185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2443392"/>
        <c:crosses val="autoZero"/>
        <c:auto val="1"/>
        <c:lblAlgn val="ctr"/>
        <c:lblOffset val="100"/>
        <c:tickLblSkip val="1"/>
        <c:tickMarkSkip val="1"/>
      </c:catAx>
      <c:valAx>
        <c:axId val="52443392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 de participación</a:t>
                </a:r>
              </a:p>
            </c:rich>
          </c:tx>
          <c:layout>
            <c:manualLayout>
              <c:xMode val="edge"/>
              <c:yMode val="edge"/>
              <c:x val="0.12097669256381829"/>
              <c:y val="0.24959216965742675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24418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3251942286348501E-2"/>
          <c:y val="0.7096247960848423"/>
          <c:w val="0.90899001109878574"/>
          <c:h val="0.12071778140293005"/>
        </c:manualLayout>
      </c:layout>
      <c:spPr>
        <a:noFill/>
        <a:ln w="25400">
          <a:noFill/>
        </a:ln>
      </c:spPr>
      <c:txPr>
        <a:bodyPr/>
        <a:lstStyle/>
        <a:p>
          <a:pPr>
            <a:defRPr sz="65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6.9922308546059936E-2"/>
          <c:y val="3.4257748776509632E-2"/>
          <c:w val="0.85460599334074339"/>
          <c:h val="0.72593800978792256"/>
        </c:manualLayout>
      </c:layout>
      <c:barChart>
        <c:barDir val="col"/>
        <c:grouping val="clustered"/>
        <c:ser>
          <c:idx val="1"/>
          <c:order val="0"/>
          <c:tx>
            <c:strRef>
              <c:f>'Datos 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pct60">
              <a:fgClr>
                <a:srgbClr val="0000FF"/>
              </a:fgClr>
              <a:bgClr>
                <a:srgbClr val="FFFFFF"/>
              </a:bgClr>
            </a:patt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0"/>
          <c:order val="1"/>
          <c:tx>
            <c:strRef>
              <c:f>'Datos 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pct60">
              <a:fgClr>
                <a:srgbClr val="33CCCC"/>
              </a:fgClr>
              <a:bgClr>
                <a:srgbClr val="FFFFFF"/>
              </a:bgClr>
            </a:patt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2"/>
          <c:tx>
            <c:strRef>
              <c:f>'Datos 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pct60">
              <a:fgClr>
                <a:srgbClr val="FF0000"/>
              </a:fgClr>
              <a:bgClr>
                <a:srgbClr val="3333CC"/>
              </a:bgClr>
            </a:patt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axId val="52523776"/>
        <c:axId val="52525696"/>
      </c:barChart>
      <c:lineChart>
        <c:grouping val="standard"/>
        <c:ser>
          <c:idx val="2"/>
          <c:order val="3"/>
          <c:tx>
            <c:strRef>
              <c:f>'Datos 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elete val="1"/>
          </c:dLbls>
          <c:cat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4"/>
          <c:tx>
            <c:strRef>
              <c:f>'Datos 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elete val="1"/>
          </c:dLbls>
          <c:cat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'Datos 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38100">
              <a:solidFill>
                <a:srgbClr val="FFFF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delete val="1"/>
          </c:dLbls>
          <c:cat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('Datos '!#REF!,'Datos '!#REF!,'Datos '!#REF!,'Datos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Val val="1"/>
        </c:dLbls>
        <c:marker val="1"/>
        <c:axId val="52536064"/>
        <c:axId val="52537600"/>
      </c:lineChart>
      <c:catAx>
        <c:axId val="5252377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2525696"/>
        <c:crosses val="autoZero"/>
        <c:lblAlgn val="ctr"/>
        <c:lblOffset val="100"/>
        <c:tickLblSkip val="1"/>
        <c:tickMarkSkip val="1"/>
      </c:catAx>
      <c:valAx>
        <c:axId val="52525696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millones de $ de 2004</a:t>
                </a:r>
              </a:p>
            </c:rich>
          </c:tx>
          <c:layout>
            <c:manualLayout>
              <c:xMode val="edge"/>
              <c:yMode val="edge"/>
              <c:x val="1.1098779134295227E-2"/>
              <c:y val="0.28221859706362573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2523776"/>
        <c:crosses val="autoZero"/>
        <c:crossBetween val="between"/>
      </c:valAx>
      <c:catAx>
        <c:axId val="52536064"/>
        <c:scaling>
          <c:orientation val="minMax"/>
        </c:scaling>
        <c:delete val="1"/>
        <c:axPos val="b"/>
        <c:numFmt formatCode="General" sourceLinked="1"/>
        <c:tickLblPos val="none"/>
        <c:crossAx val="52537600"/>
        <c:crosses val="autoZero"/>
        <c:lblAlgn val="ctr"/>
        <c:lblOffset val="100"/>
      </c:catAx>
      <c:valAx>
        <c:axId val="52537600"/>
        <c:scaling>
          <c:orientation val="minMax"/>
        </c:scaling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milones de $ de 2004</a:t>
                </a:r>
              </a:p>
            </c:rich>
          </c:tx>
          <c:layout>
            <c:manualLayout>
              <c:xMode val="edge"/>
              <c:yMode val="edge"/>
              <c:x val="0.95782463928969175"/>
              <c:y val="0.2854812398042491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5253606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0913539967373571"/>
          <c:w val="0.81132075471698117"/>
          <c:h val="0.13050570962479835"/>
        </c:manualLayout>
      </c:layout>
      <c:spPr>
        <a:noFill/>
        <a:ln w="25400">
          <a:noFill/>
        </a:ln>
      </c:spPr>
      <c:txPr>
        <a:bodyPr/>
        <a:lstStyle/>
        <a:p>
          <a:pPr>
            <a:defRPr sz="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6.2153163152053312E-2"/>
          <c:y val="8.1566068515500301E-2"/>
          <c:w val="0.92674805771365165"/>
          <c:h val="0.55464926590538965"/>
        </c:manualLayout>
      </c:layout>
      <c:barChart>
        <c:barDir val="col"/>
        <c:grouping val="clustered"/>
        <c:ser>
          <c:idx val="0"/>
          <c:order val="0"/>
          <c:tx>
            <c:strRef>
              <c:f>[2]Hoja1!$I$13</c:f>
              <c:strCache>
                <c:ptCount val="1"/>
                <c:pt idx="0">
                  <c:v>Menor que 1</c:v>
                </c:pt>
              </c:strCache>
            </c:strRef>
          </c:tx>
          <c:dLbls>
            <c:dLbl>
              <c:idx val="1"/>
              <c:layout>
                <c:manualLayout>
                  <c:x val="-1.1838697743248243E-2"/>
                  <c:y val="8.7003806416531115E-3"/>
                </c:manualLayout>
              </c:layout>
              <c:showVal val="1"/>
            </c:dLbl>
            <c:dLbl>
              <c:idx val="2"/>
              <c:layout>
                <c:manualLayout>
                  <c:x val="-7.3991860895302004E-3"/>
                  <c:y val="2.1750951604132679E-3"/>
                </c:manualLayout>
              </c:layout>
              <c:showVal val="1"/>
            </c:dLbl>
            <c:dLbl>
              <c:idx val="4"/>
              <c:layout>
                <c:manualLayout>
                  <c:x val="-8.8790233074360746E-3"/>
                  <c:y val="2.1750951604132679E-3"/>
                </c:manualLayout>
              </c:layout>
              <c:showVal val="1"/>
            </c:dLbl>
            <c:txPr>
              <a:bodyPr/>
              <a:lstStyle/>
              <a:p>
                <a:pPr>
                  <a:defRPr sz="24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Val val="1"/>
          </c:dLbls>
          <c:cat>
            <c:numRef>
              <c:f>[2]Hoja1!$J$12:$N$12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[2]Hoja1!$J$13:$N$13</c:f>
              <c:numCache>
                <c:formatCode>General</c:formatCode>
                <c:ptCount val="5"/>
                <c:pt idx="0">
                  <c:v>36</c:v>
                </c:pt>
                <c:pt idx="1">
                  <c:v>29</c:v>
                </c:pt>
                <c:pt idx="2">
                  <c:v>32</c:v>
                </c:pt>
                <c:pt idx="3">
                  <c:v>23</c:v>
                </c:pt>
                <c:pt idx="4">
                  <c:v>27</c:v>
                </c:pt>
              </c:numCache>
            </c:numRef>
          </c:val>
        </c:ser>
        <c:ser>
          <c:idx val="1"/>
          <c:order val="1"/>
          <c:tx>
            <c:strRef>
              <c:f>[2]Hoja1!$I$14</c:f>
              <c:strCache>
                <c:ptCount val="1"/>
                <c:pt idx="0">
                  <c:v>Entre 1 y 2</c:v>
                </c:pt>
              </c:strCache>
            </c:strRef>
          </c:tx>
          <c:dLbls>
            <c:dLbl>
              <c:idx val="0"/>
              <c:layout>
                <c:manualLayout>
                  <c:x val="7.3991860895302004E-3"/>
                  <c:y val="6.525285481239893E-3"/>
                </c:manualLayout>
              </c:layout>
              <c:showVal val="1"/>
            </c:dLbl>
            <c:dLbl>
              <c:idx val="2"/>
              <c:layout>
                <c:manualLayout>
                  <c:x val="4.9836722684909939E-4"/>
                  <c:y val="5.8727569331158413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8856854879821341E-3"/>
                  <c:y val="6.5718701964864934E-3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24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Val val="1"/>
          </c:dLbls>
          <c:cat>
            <c:numRef>
              <c:f>[2]Hoja1!$J$12:$N$12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[2]Hoja1!$J$14:$N$14</c:f>
              <c:numCache>
                <c:formatCode>General</c:formatCode>
                <c:ptCount val="5"/>
                <c:pt idx="0">
                  <c:v>20</c:v>
                </c:pt>
                <c:pt idx="1">
                  <c:v>33</c:v>
                </c:pt>
                <c:pt idx="2">
                  <c:v>49</c:v>
                </c:pt>
                <c:pt idx="3">
                  <c:v>60</c:v>
                </c:pt>
                <c:pt idx="4">
                  <c:v>42</c:v>
                </c:pt>
              </c:numCache>
            </c:numRef>
          </c:val>
        </c:ser>
        <c:ser>
          <c:idx val="2"/>
          <c:order val="2"/>
          <c:tx>
            <c:strRef>
              <c:f>[2]Hoja1!$I$15</c:f>
              <c:strCache>
                <c:ptCount val="1"/>
                <c:pt idx="0">
                  <c:v>Entre 2 y 3</c:v>
                </c:pt>
              </c:strCache>
            </c:strRef>
          </c:tx>
          <c:dLbls>
            <c:dLbl>
              <c:idx val="0"/>
              <c:layout>
                <c:manualLayout>
                  <c:x val="1.3318534961154272E-2"/>
                  <c:y val="6.525285481239893E-3"/>
                </c:manualLayout>
              </c:layout>
              <c:showVal val="1"/>
            </c:dLbl>
            <c:dLbl>
              <c:idx val="4"/>
              <c:layout>
                <c:manualLayout>
                  <c:x val="5.9193488716242498E-3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24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Val val="1"/>
          </c:dLbls>
          <c:cat>
            <c:numRef>
              <c:f>[2]Hoja1!$J$12:$N$12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[2]Hoja1!$J$15:$N$15</c:f>
              <c:numCache>
                <c:formatCode>General</c:formatCode>
                <c:ptCount val="5"/>
                <c:pt idx="0">
                  <c:v>14</c:v>
                </c:pt>
                <c:pt idx="1">
                  <c:v>8</c:v>
                </c:pt>
                <c:pt idx="2">
                  <c:v>9</c:v>
                </c:pt>
                <c:pt idx="3">
                  <c:v>19</c:v>
                </c:pt>
                <c:pt idx="4">
                  <c:v>20</c:v>
                </c:pt>
              </c:numCache>
            </c:numRef>
          </c:val>
        </c:ser>
        <c:ser>
          <c:idx val="3"/>
          <c:order val="3"/>
          <c:tx>
            <c:strRef>
              <c:f>[2]Hoja1!$I$16</c:f>
              <c:strCache>
                <c:ptCount val="1"/>
                <c:pt idx="0">
                  <c:v>Entre 3 y 5</c:v>
                </c:pt>
              </c:strCache>
            </c:strRef>
          </c:tx>
          <c:dLbls>
            <c:dLbl>
              <c:idx val="3"/>
              <c:layout>
                <c:manualLayout>
                  <c:x val="-9.6935163903623248E-4"/>
                  <c:y val="3.3092274558666102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0"/>
                  <c:y val="6.525285481239893E-3"/>
                </c:manualLayout>
              </c:layout>
              <c:showVal val="1"/>
            </c:dLbl>
            <c:txPr>
              <a:bodyPr/>
              <a:lstStyle/>
              <a:p>
                <a:pPr>
                  <a:defRPr sz="24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Val val="1"/>
          </c:dLbls>
          <c:cat>
            <c:numRef>
              <c:f>[2]Hoja1!$J$12:$N$12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[2]Hoja1!$J$16:$N$16</c:f>
              <c:numCache>
                <c:formatCode>General</c:formatCode>
                <c:ptCount val="5"/>
                <c:pt idx="0">
                  <c:v>0</c:v>
                </c:pt>
                <c:pt idx="1">
                  <c:v>2</c:v>
                </c:pt>
                <c:pt idx="2">
                  <c:v>8</c:v>
                </c:pt>
                <c:pt idx="3">
                  <c:v>9</c:v>
                </c:pt>
                <c:pt idx="4">
                  <c:v>14</c:v>
                </c:pt>
              </c:numCache>
            </c:numRef>
          </c:val>
        </c:ser>
        <c:ser>
          <c:idx val="4"/>
          <c:order val="4"/>
          <c:tx>
            <c:strRef>
              <c:f>[2]Hoja1!$I$17</c:f>
              <c:strCache>
                <c:ptCount val="1"/>
                <c:pt idx="0">
                  <c:v>Mayor a 5</c:v>
                </c:pt>
              </c:strCache>
            </c:strRef>
          </c:tx>
          <c:dLbls>
            <c:txPr>
              <a:bodyPr/>
              <a:lstStyle/>
              <a:p>
                <a:pPr>
                  <a:defRPr sz="2400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Val val="1"/>
          </c:dLbls>
          <c:cat>
            <c:numRef>
              <c:f>[2]Hoja1!$J$12:$N$12</c:f>
              <c:numCache>
                <c:formatCode>General</c:formatCode>
                <c:ptCount val="5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</c:numCache>
            </c:numRef>
          </c:cat>
          <c:val>
            <c:numRef>
              <c:f>[2]Hoja1!$J$17:$N$17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Val val="1"/>
        </c:dLbls>
        <c:axId val="52751744"/>
        <c:axId val="52651136"/>
      </c:barChart>
      <c:catAx>
        <c:axId val="52751744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2400">
                <a:latin typeface="Arial" pitchFamily="34" charset="0"/>
                <a:cs typeface="Arial" pitchFamily="34" charset="0"/>
              </a:defRPr>
            </a:pPr>
            <a:endParaRPr lang="es-MX"/>
          </a:p>
        </c:txPr>
        <c:crossAx val="52651136"/>
        <c:crosses val="autoZero"/>
        <c:auto val="1"/>
        <c:lblAlgn val="ctr"/>
        <c:lblOffset val="100"/>
        <c:tickLblSkip val="1"/>
        <c:tickMarkSkip val="1"/>
      </c:catAx>
      <c:valAx>
        <c:axId val="52651136"/>
        <c:scaling>
          <c:orientation val="minMax"/>
        </c:scaling>
        <c:axPos val="l"/>
        <c:numFmt formatCode="General" sourceLinked="1"/>
        <c:tickLblPos val="nextTo"/>
        <c:txPr>
          <a:bodyPr rot="0" vert="horz"/>
          <a:lstStyle/>
          <a:p>
            <a:pPr>
              <a:defRPr sz="2400" b="1">
                <a:latin typeface="Arial" pitchFamily="34" charset="0"/>
                <a:cs typeface="Arial" pitchFamily="34" charset="0"/>
              </a:defRPr>
            </a:pPr>
            <a:endParaRPr lang="es-MX"/>
          </a:p>
        </c:txPr>
        <c:crossAx val="52751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"/>
          <c:y val="0.7520391517128876"/>
          <c:w val="1"/>
          <c:h val="0.21424858597406451"/>
        </c:manualLayout>
      </c:layout>
      <c:txPr>
        <a:bodyPr/>
        <a:lstStyle/>
        <a:p>
          <a:pPr>
            <a:defRPr sz="2200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</c:chart>
  <c:txPr>
    <a:bodyPr/>
    <a:lstStyle/>
    <a:p>
      <a:pPr>
        <a:defRPr sz="2000" b="1">
          <a:latin typeface="Arial Narrow" pitchFamily="34" charset="0"/>
          <a:cs typeface="Arial" pitchFamily="34" charset="0"/>
        </a:defRPr>
      </a:pPr>
      <a:endParaRPr lang="es-MX"/>
    </a:p>
  </c:txPr>
  <c:printSettings>
    <c:headerFooter/>
    <c:pageMargins b="0.75000000000000677" l="0.70000000000000062" r="0.70000000000000062" t="0.75000000000000677" header="0.30000000000000032" footer="0.3000000000000003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/>
      <c:barChart>
        <c:barDir val="col"/>
        <c:grouping val="clustered"/>
        <c:ser>
          <c:idx val="0"/>
          <c:order val="0"/>
          <c:cat>
            <c:strRef>
              <c:f>'Datos '!$I$103:$I$106</c:f>
              <c:strCache>
                <c:ptCount val="4"/>
                <c:pt idx="0">
                  <c:v>Menor que 1</c:v>
                </c:pt>
                <c:pt idx="1">
                  <c:v>Entre 1 y 2</c:v>
                </c:pt>
                <c:pt idx="2">
                  <c:v>Entre 2 y 3</c:v>
                </c:pt>
                <c:pt idx="3">
                  <c:v>Entre 3 y 5</c:v>
                </c:pt>
              </c:strCache>
            </c:strRef>
          </c:cat>
          <c:val>
            <c:numRef>
              <c:f>'Datos '!$I$107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cat>
            <c:strRef>
              <c:f>'Datos '!$I$103:$I$106</c:f>
              <c:strCache>
                <c:ptCount val="4"/>
                <c:pt idx="0">
                  <c:v>Menor que 1</c:v>
                </c:pt>
                <c:pt idx="1">
                  <c:v>Entre 1 y 2</c:v>
                </c:pt>
                <c:pt idx="2">
                  <c:v>Entre 2 y 3</c:v>
                </c:pt>
                <c:pt idx="3">
                  <c:v>Entre 3 y 5</c:v>
                </c:pt>
              </c:strCache>
            </c:strRef>
          </c:cat>
          <c:val>
            <c:numRef>
              <c:f>'Datos '!$R$102:$W$102</c:f>
              <c:numCache>
                <c:formatCode>General</c:formatCode>
                <c:ptCount val="6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</c:numCache>
            </c:numRef>
          </c:val>
        </c:ser>
        <c:ser>
          <c:idx val="2"/>
          <c:order val="2"/>
          <c:cat>
            <c:strRef>
              <c:f>'Datos '!$I$103:$I$106</c:f>
              <c:strCache>
                <c:ptCount val="4"/>
                <c:pt idx="0">
                  <c:v>Menor que 1</c:v>
                </c:pt>
                <c:pt idx="1">
                  <c:v>Entre 1 y 2</c:v>
                </c:pt>
                <c:pt idx="2">
                  <c:v>Entre 2 y 3</c:v>
                </c:pt>
                <c:pt idx="3">
                  <c:v>Entre 3 y 5</c:v>
                </c:pt>
              </c:strCache>
            </c:strRef>
          </c:cat>
          <c:val>
            <c:numRef>
              <c:f>'Datos '!$R$103:$W$103</c:f>
              <c:numCache>
                <c:formatCode>General</c:formatCode>
                <c:ptCount val="6"/>
                <c:pt idx="0">
                  <c:v>37</c:v>
                </c:pt>
                <c:pt idx="1">
                  <c:v>29</c:v>
                </c:pt>
                <c:pt idx="2">
                  <c:v>35</c:v>
                </c:pt>
                <c:pt idx="3">
                  <c:v>23</c:v>
                </c:pt>
                <c:pt idx="4">
                  <c:v>27</c:v>
                </c:pt>
                <c:pt idx="5">
                  <c:v>29</c:v>
                </c:pt>
              </c:numCache>
            </c:numRef>
          </c:val>
        </c:ser>
        <c:ser>
          <c:idx val="3"/>
          <c:order val="3"/>
          <c:cat>
            <c:strRef>
              <c:f>'Datos '!$I$103:$I$106</c:f>
              <c:strCache>
                <c:ptCount val="4"/>
                <c:pt idx="0">
                  <c:v>Menor que 1</c:v>
                </c:pt>
                <c:pt idx="1">
                  <c:v>Entre 1 y 2</c:v>
                </c:pt>
                <c:pt idx="2">
                  <c:v>Entre 2 y 3</c:v>
                </c:pt>
                <c:pt idx="3">
                  <c:v>Entre 3 y 5</c:v>
                </c:pt>
              </c:strCache>
            </c:strRef>
          </c:cat>
          <c:val>
            <c:numRef>
              <c:f>'Datos '!$R$104:$W$104</c:f>
              <c:numCache>
                <c:formatCode>General</c:formatCode>
                <c:ptCount val="6"/>
                <c:pt idx="0">
                  <c:v>20</c:v>
                </c:pt>
                <c:pt idx="1">
                  <c:v>33</c:v>
                </c:pt>
                <c:pt idx="2">
                  <c:v>49</c:v>
                </c:pt>
                <c:pt idx="3">
                  <c:v>60</c:v>
                </c:pt>
                <c:pt idx="4">
                  <c:v>42</c:v>
                </c:pt>
                <c:pt idx="5">
                  <c:v>30</c:v>
                </c:pt>
              </c:numCache>
            </c:numRef>
          </c:val>
        </c:ser>
        <c:ser>
          <c:idx val="4"/>
          <c:order val="4"/>
          <c:cat>
            <c:strRef>
              <c:f>'Datos '!$I$103:$I$106</c:f>
              <c:strCache>
                <c:ptCount val="4"/>
                <c:pt idx="0">
                  <c:v>Menor que 1</c:v>
                </c:pt>
                <c:pt idx="1">
                  <c:v>Entre 1 y 2</c:v>
                </c:pt>
                <c:pt idx="2">
                  <c:v>Entre 2 y 3</c:v>
                </c:pt>
                <c:pt idx="3">
                  <c:v>Entre 3 y 5</c:v>
                </c:pt>
              </c:strCache>
            </c:strRef>
          </c:cat>
          <c:val>
            <c:numRef>
              <c:f>'Datos '!$R$105:$W$105</c:f>
              <c:numCache>
                <c:formatCode>General</c:formatCode>
                <c:ptCount val="6"/>
                <c:pt idx="0">
                  <c:v>14</c:v>
                </c:pt>
                <c:pt idx="1">
                  <c:v>8</c:v>
                </c:pt>
                <c:pt idx="2">
                  <c:v>9</c:v>
                </c:pt>
                <c:pt idx="3">
                  <c:v>19</c:v>
                </c:pt>
                <c:pt idx="4">
                  <c:v>20</c:v>
                </c:pt>
                <c:pt idx="5">
                  <c:v>36</c:v>
                </c:pt>
              </c:numCache>
            </c:numRef>
          </c:val>
        </c:ser>
        <c:ser>
          <c:idx val="5"/>
          <c:order val="5"/>
          <c:cat>
            <c:strRef>
              <c:f>'Datos '!$I$103:$I$106</c:f>
              <c:strCache>
                <c:ptCount val="4"/>
                <c:pt idx="0">
                  <c:v>Menor que 1</c:v>
                </c:pt>
                <c:pt idx="1">
                  <c:v>Entre 1 y 2</c:v>
                </c:pt>
                <c:pt idx="2">
                  <c:v>Entre 2 y 3</c:v>
                </c:pt>
                <c:pt idx="3">
                  <c:v>Entre 3 y 5</c:v>
                </c:pt>
              </c:strCache>
            </c:strRef>
          </c:cat>
          <c:val>
            <c:numRef>
              <c:f>'Datos '!$R$106:$W$106</c:f>
              <c:numCache>
                <c:formatCode>General</c:formatCode>
                <c:ptCount val="6"/>
                <c:pt idx="0">
                  <c:v>0</c:v>
                </c:pt>
                <c:pt idx="1">
                  <c:v>2</c:v>
                </c:pt>
                <c:pt idx="2">
                  <c:v>8</c:v>
                </c:pt>
                <c:pt idx="3">
                  <c:v>9</c:v>
                </c:pt>
                <c:pt idx="4">
                  <c:v>14</c:v>
                </c:pt>
                <c:pt idx="5">
                  <c:v>17</c:v>
                </c:pt>
              </c:numCache>
            </c:numRef>
          </c:val>
        </c:ser>
        <c:ser>
          <c:idx val="6"/>
          <c:order val="6"/>
          <c:cat>
            <c:strRef>
              <c:f>'Datos '!$I$103:$I$106</c:f>
              <c:strCache>
                <c:ptCount val="4"/>
                <c:pt idx="0">
                  <c:v>Menor que 1</c:v>
                </c:pt>
                <c:pt idx="1">
                  <c:v>Entre 1 y 2</c:v>
                </c:pt>
                <c:pt idx="2">
                  <c:v>Entre 2 y 3</c:v>
                </c:pt>
                <c:pt idx="3">
                  <c:v>Entre 3 y 5</c:v>
                </c:pt>
              </c:strCache>
            </c:strRef>
          </c:cat>
          <c:val>
            <c:numRef>
              <c:f>'Datos '!$R$107:$W$107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</c:ser>
        <c:axId val="52686848"/>
        <c:axId val="52688384"/>
      </c:barChart>
      <c:catAx>
        <c:axId val="52686848"/>
        <c:scaling>
          <c:orientation val="minMax"/>
        </c:scaling>
        <c:axPos val="b"/>
        <c:tickLblPos val="nextTo"/>
        <c:crossAx val="52688384"/>
        <c:crosses val="autoZero"/>
        <c:auto val="1"/>
        <c:lblAlgn val="ctr"/>
        <c:lblOffset val="100"/>
      </c:catAx>
      <c:valAx>
        <c:axId val="52688384"/>
        <c:scaling>
          <c:orientation val="minMax"/>
        </c:scaling>
        <c:axPos val="l"/>
        <c:majorGridlines/>
        <c:numFmt formatCode="General" sourceLinked="1"/>
        <c:tickLblPos val="nextTo"/>
        <c:crossAx val="52686848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688" l="0.70000000000000062" r="0.70000000000000062" t="0.75000000000000688" header="0.30000000000000032" footer="0.3000000000000003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0.10651499482936908"/>
          <c:y val="0.22824858757062494"/>
          <c:w val="0.8345398138572907"/>
          <c:h val="0.67175141242940628"/>
        </c:manualLayout>
      </c:layout>
      <c:barChart>
        <c:barDir val="col"/>
        <c:grouping val="clustered"/>
        <c:ser>
          <c:idx val="1"/>
          <c:order val="0"/>
          <c:tx>
            <c:strRef>
              <c:f>'Datos '!$I$472</c:f>
              <c:strCache>
                <c:ptCount val="1"/>
                <c:pt idx="0">
                  <c:v>Científico y Tecnológico </c:v>
                </c:pt>
              </c:strCache>
            </c:strRef>
          </c:tx>
          <c:spPr>
            <a:gradFill>
              <a:gsLst>
                <a:gs pos="0">
                  <a:srgbClr val="FFF39D">
                    <a:lumMod val="25000"/>
                  </a:srgbClr>
                </a:gs>
                <a:gs pos="50000">
                  <a:srgbClr val="FFF39D">
                    <a:lumMod val="75000"/>
                  </a:srgbClr>
                </a:gs>
                <a:gs pos="100000">
                  <a:schemeClr val="bg2"/>
                </a:gs>
              </a:gsLst>
              <a:lin ang="5400000" scaled="0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1.5849110003739961E-4"/>
                  <c:y val="4.471729169447150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0196867240118732E-3"/>
                  <c:y val="1.212153565550086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3.5513141002150813E-4"/>
                  <c:y val="1.7796165309845243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7.4457083764224133E-4"/>
                  <c:y val="-4.7795720450199003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9441571871768601E-3"/>
                  <c:y val="-8.5592775479335897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Val val="1"/>
          </c:dLbls>
          <c:cat>
            <c:multiLvlStrRef>
              <c:f>'Datos '!$W$470:$X$470</c:f>
            </c:multiLvlStrRef>
          </c:cat>
          <c:val>
            <c:numRef>
              <c:f>'Datos '!$W$472:$X$472</c:f>
            </c:numRef>
          </c:val>
        </c:ser>
        <c:ser>
          <c:idx val="2"/>
          <c:order val="1"/>
          <c:tx>
            <c:strRef>
              <c:f>'Datos '!$I$471</c:f>
              <c:strCache>
                <c:ptCount val="1"/>
                <c:pt idx="0">
                  <c:v>Administrativo</c:v>
                </c:pt>
              </c:strCache>
            </c:strRef>
          </c:tx>
          <c:spPr>
            <a:gradFill flip="none" rotWithShape="1">
              <a:gsLst>
                <a:gs pos="0">
                  <a:srgbClr val="B32C16">
                    <a:lumMod val="40000"/>
                    <a:lumOff val="60000"/>
                  </a:srgbClr>
                </a:gs>
                <a:gs pos="50000">
                  <a:srgbClr val="FE8637">
                    <a:lumMod val="50000"/>
                  </a:srgbClr>
                </a:gs>
                <a:gs pos="100000">
                  <a:schemeClr val="accent3">
                    <a:lumMod val="50000"/>
                  </a:schemeClr>
                </a:gs>
              </a:gsLst>
              <a:lin ang="16200000" scaled="1"/>
              <a:tileRect/>
            </a:gradFill>
            <a:ln w="4445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2.747179067314991E-3"/>
                  <c:y val="2.3643400507140002E-3"/>
                </c:manualLayout>
              </c:layout>
              <c:showVal val="1"/>
            </c:dLbl>
            <c:dLbl>
              <c:idx val="1"/>
              <c:layout>
                <c:manualLayout>
                  <c:x val="-2.6901707889851953E-3"/>
                  <c:y val="1.9748565327639432E-2"/>
                </c:manualLayout>
              </c:layout>
              <c:showVal val="1"/>
            </c:dLbl>
            <c:dLbl>
              <c:idx val="2"/>
              <c:layout>
                <c:manualLayout>
                  <c:x val="-4.3089132989710512E-3"/>
                  <c:y val="-3.2228835802304352E-2"/>
                </c:manualLayout>
              </c:layout>
              <c:showVal val="1"/>
            </c:dLbl>
            <c:dLbl>
              <c:idx val="3"/>
              <c:layout>
                <c:manualLayout>
                  <c:x val="-4.9293889970062404E-3"/>
                  <c:y val="-3.1186440677966252E-2"/>
                </c:manualLayout>
              </c:layout>
              <c:showVal val="1"/>
            </c:dLbl>
            <c:dLbl>
              <c:idx val="4"/>
              <c:layout>
                <c:manualLayout>
                  <c:x val="-5.5498646950415155E-3"/>
                  <c:y val="-3.357622670047599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Val val="1"/>
          </c:dLbls>
          <c:cat>
            <c:multiLvlStrRef>
              <c:f>'Datos '!$W$470:$X$470</c:f>
            </c:multiLvlStrRef>
          </c:cat>
          <c:val>
            <c:numRef>
              <c:f>'Datos '!$W$471:$X$471</c:f>
            </c:numRef>
          </c:val>
        </c:ser>
        <c:ser>
          <c:idx val="3"/>
          <c:order val="2"/>
          <c:tx>
            <c:strRef>
              <c:f>'Datos '!$I$473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7598D9">
                    <a:lumMod val="50000"/>
                  </a:srgbClr>
                </a:gs>
                <a:gs pos="50000">
                  <a:srgbClr val="7598D9">
                    <a:lumMod val="60000"/>
                    <a:lumOff val="40000"/>
                  </a:srgbClr>
                </a:gs>
                <a:gs pos="100000">
                  <a:schemeClr val="accent2">
                    <a:lumMod val="20000"/>
                    <a:lumOff val="80000"/>
                  </a:schemeClr>
                </a:gs>
              </a:gsLst>
              <a:lin ang="16200000" scaled="1"/>
            </a:gradFill>
            <a:ln w="4445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4.1779116506457045E-4"/>
                  <c:y val="4.1695804973530884E-3"/>
                </c:manualLayout>
              </c:layout>
              <c:showVal val="1"/>
            </c:dLbl>
            <c:dLbl>
              <c:idx val="1"/>
              <c:layout>
                <c:manualLayout>
                  <c:x val="3.1657788604409651E-4"/>
                  <c:y val="4.9096490057388056E-3"/>
                </c:manualLayout>
              </c:layout>
              <c:showVal val="1"/>
            </c:dLbl>
            <c:dLbl>
              <c:idx val="2"/>
              <c:layout>
                <c:manualLayout>
                  <c:x val="-1.9131388307589019E-2"/>
                  <c:y val="-5.3889763779527547E-2"/>
                </c:manualLayout>
              </c:layout>
              <c:showVal val="1"/>
            </c:dLbl>
            <c:dLbl>
              <c:idx val="3"/>
              <c:layout>
                <c:manualLayout>
                  <c:x val="-2.9058999476151356E-2"/>
                  <c:y val="-5.0279638773966795E-2"/>
                </c:manualLayout>
              </c:layout>
              <c:showVal val="1"/>
            </c:dLbl>
            <c:dLbl>
              <c:idx val="4"/>
              <c:layout>
                <c:manualLayout>
                  <c:x val="-2.244059203044298E-2"/>
                  <c:y val="-4.9669469282441432E-2"/>
                </c:manualLayout>
              </c:layout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Val val="1"/>
          </c:dLbls>
          <c:cat>
            <c:multiLvlStrRef>
              <c:f>'Datos '!$W$470:$X$470</c:f>
            </c:multiLvlStrRef>
          </c:cat>
          <c:val>
            <c:numRef>
              <c:f>'Datos '!$W$473:$X$473</c:f>
            </c:numRef>
          </c:val>
        </c:ser>
        <c:dLbls>
          <c:showVal val="1"/>
        </c:dLbls>
        <c:axId val="51250304"/>
        <c:axId val="51251840"/>
      </c:barChart>
      <c:catAx>
        <c:axId val="5125030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>
                <a:solidFill>
                  <a:srgbClr val="0033CC"/>
                </a:solidFill>
              </a:defRPr>
            </a:pPr>
            <a:endParaRPr lang="es-MX"/>
          </a:p>
        </c:txPr>
        <c:crossAx val="51251840"/>
        <c:crosses val="autoZero"/>
        <c:lblAlgn val="ctr"/>
        <c:lblOffset val="100"/>
        <c:tickLblSkip val="1"/>
        <c:tickMarkSkip val="1"/>
      </c:catAx>
      <c:valAx>
        <c:axId val="51251840"/>
        <c:scaling>
          <c:orientation val="minMax"/>
          <c:max val="40"/>
          <c:min val="0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Personas</a:t>
                </a:r>
              </a:p>
            </c:rich>
          </c:tx>
          <c:layout>
            <c:manualLayout>
              <c:xMode val="edge"/>
              <c:yMode val="edge"/>
              <c:x val="0"/>
              <c:y val="0.32768361581921596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noFill/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>
                <a:solidFill>
                  <a:srgbClr val="0033CC"/>
                </a:solidFill>
              </a:defRPr>
            </a:pPr>
            <a:endParaRPr lang="es-MX"/>
          </a:p>
        </c:txPr>
        <c:crossAx val="51250304"/>
        <c:crosses val="autoZero"/>
        <c:crossBetween val="between"/>
        <c:majorUnit val="5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203378145467264"/>
          <c:y val="8.4745762711866731E-3"/>
          <c:w val="0.80839512911839262"/>
          <c:h val="0.18316259620089864"/>
        </c:manualLayout>
      </c:layout>
      <c:spPr>
        <a:noFill/>
        <a:ln w="25400">
          <a:noFill/>
        </a:ln>
      </c:spPr>
      <c:txPr>
        <a:bodyPr/>
        <a:lstStyle/>
        <a:p>
          <a:pPr>
            <a:defRPr b="1">
              <a:solidFill>
                <a:schemeClr val="bg1"/>
              </a:solidFill>
            </a:defRPr>
          </a:pPr>
          <a:endParaRPr lang="es-MX"/>
        </a:p>
      </c:txPr>
    </c:legend>
    <c:plotVisOnly val="1"/>
    <c:dispBlanksAs val="gap"/>
  </c:chart>
  <c:spPr>
    <a:gradFill>
      <a:gsLst>
        <a:gs pos="0">
          <a:srgbClr val="777C84">
            <a:lumMod val="20000"/>
            <a:lumOff val="80000"/>
          </a:srgbClr>
        </a:gs>
        <a:gs pos="50000">
          <a:srgbClr val="777C84">
            <a:lumMod val="40000"/>
            <a:lumOff val="60000"/>
          </a:srgbClr>
        </a:gs>
        <a:gs pos="100000">
          <a:schemeClr val="tx1">
            <a:lumMod val="75000"/>
            <a:lumOff val="25000"/>
          </a:schemeClr>
        </a:gs>
      </a:gsLst>
      <a:lin ang="16200000" scaled="1"/>
    </a:gradFill>
    <a:ln w="9525">
      <a:noFill/>
    </a:ln>
  </c:spPr>
  <c:txPr>
    <a:bodyPr/>
    <a:lstStyle/>
    <a:p>
      <a:pPr>
        <a:defRPr sz="22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0.10543840177580466"/>
          <c:y val="0.22294725394236412"/>
          <c:w val="0.89456159822419534"/>
          <c:h val="0.60685154975530176"/>
        </c:manualLayout>
      </c:layout>
      <c:barChart>
        <c:barDir val="col"/>
        <c:grouping val="clustered"/>
        <c:ser>
          <c:idx val="0"/>
          <c:order val="0"/>
          <c:tx>
            <c:strRef>
              <c:f>'Datos '!$I$451</c:f>
              <c:strCache>
                <c:ptCount val="1"/>
                <c:pt idx="0">
                  <c:v>Investigador Titular </c:v>
                </c:pt>
              </c:strCache>
            </c:strRef>
          </c:tx>
          <c:spPr>
            <a:gradFill>
              <a:gsLst>
                <a:gs pos="0">
                  <a:srgbClr val="B32C16">
                    <a:lumMod val="75000"/>
                  </a:srgbClr>
                </a:gs>
                <a:gs pos="50000">
                  <a:schemeClr val="accent3">
                    <a:lumMod val="60000"/>
                    <a:lumOff val="40000"/>
                  </a:schemeClr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3.8475767665557305E-4"/>
                  <c:y val="5.826172217869186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847576766555679E-4"/>
                  <c:y val="6.571870196486493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6045135035146012E-3"/>
                  <c:y val="3.6820764451751852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8349981502035443E-3"/>
                  <c:y val="1.3516418114946141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3.8475767665563517E-4"/>
                  <c:y val="-4.8007946804365913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'!$W$450:$X$450</c:f>
            </c:multiLvlStrRef>
          </c:cat>
          <c:val>
            <c:numRef>
              <c:f>'Datos '!$W$451:$X$451</c:f>
            </c:numRef>
          </c:val>
        </c:ser>
        <c:ser>
          <c:idx val="1"/>
          <c:order val="1"/>
          <c:tx>
            <c:strRef>
              <c:f>'Datos '!$I$452</c:f>
              <c:strCache>
                <c:ptCount val="1"/>
                <c:pt idx="0">
                  <c:v>Investigador Asociado</c:v>
                </c:pt>
              </c:strCache>
            </c:strRef>
          </c:tx>
          <c:spPr>
            <a:gradFill>
              <a:gsLst>
                <a:gs pos="0">
                  <a:srgbClr val="AEBAD5">
                    <a:lumMod val="50000"/>
                  </a:srgbClr>
                </a:gs>
                <a:gs pos="50000">
                  <a:schemeClr val="accent5">
                    <a:lumMod val="60000"/>
                    <a:lumOff val="40000"/>
                  </a:schemeClr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2.5009248982612409E-3"/>
                  <c:y val="1.211887665754656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7810423530577012E-3"/>
                  <c:y val="5.7174174598485141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3012051351516427E-3"/>
                  <c:y val="1.538151939816730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2.1383065185664883E-3"/>
                  <c:y val="-4.2414355628058332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8.1449308292617264E-5"/>
                  <c:y val="4.2880202780525784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'!$W$450:$X$450</c:f>
            </c:multiLvlStrRef>
          </c:cat>
          <c:val>
            <c:numRef>
              <c:f>'Datos '!$W$452:$X$452</c:f>
            </c:numRef>
          </c:val>
        </c:ser>
        <c:ser>
          <c:idx val="4"/>
          <c:order val="2"/>
          <c:tx>
            <c:strRef>
              <c:f>'Datos '!$I$453</c:f>
              <c:strCache>
                <c:ptCount val="1"/>
                <c:pt idx="0">
                  <c:v>Técnico Académico Titular</c:v>
                </c:pt>
              </c:strCache>
            </c:strRef>
          </c:tx>
          <c:spPr>
            <a:gradFill>
              <a:gsLst>
                <a:gs pos="0">
                  <a:srgbClr val="339933"/>
                </a:gs>
                <a:gs pos="50000">
                  <a:srgbClr val="33CC33"/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165100" prst="coolSlant"/>
            </a:sp3d>
          </c:spPr>
          <c:dLbls>
            <c:dLbl>
              <c:idx val="0"/>
              <c:layout>
                <c:manualLayout>
                  <c:x val="-5.9193488716242911E-5"/>
                  <c:y val="6.664868359644359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2.2789493155752792E-3"/>
                  <c:y val="6.8515497553019401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2.2789493155752866E-3"/>
                  <c:y val="2.858623096256525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5.9193488716271689E-5"/>
                  <c:y val="5.033718256669833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1605623381428379E-3"/>
                  <c:y val="8.1100221363031091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'!$W$450:$X$450</c:f>
            </c:multiLvlStrRef>
          </c:cat>
          <c:val>
            <c:numRef>
              <c:f>'Datos '!$W$453:$X$453</c:f>
            </c:numRef>
          </c:val>
        </c:ser>
        <c:ser>
          <c:idx val="5"/>
          <c:order val="3"/>
          <c:tx>
            <c:strRef>
              <c:f>'Datos '!$I$454</c:f>
              <c:strCache>
                <c:ptCount val="1"/>
                <c:pt idx="0">
                  <c:v>Técnico Académico Asociado</c:v>
                </c:pt>
              </c:strCache>
            </c:strRef>
          </c:tx>
          <c:spPr>
            <a:gradFill>
              <a:gsLst>
                <a:gs pos="0">
                  <a:srgbClr val="6600FF"/>
                </a:gs>
                <a:gs pos="50000">
                  <a:srgbClr val="CC66FF"/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'!$W$450:$X$450</c:f>
            </c:multiLvlStrRef>
          </c:cat>
          <c:val>
            <c:numRef>
              <c:f>'Datos '!$W$454:$X$454</c:f>
            </c:numRef>
          </c:val>
        </c:ser>
        <c:ser>
          <c:idx val="2"/>
          <c:order val="4"/>
          <c:tx>
            <c:strRef>
              <c:f>'Datos '!$I$455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003399"/>
                </a:gs>
                <a:gs pos="50000">
                  <a:srgbClr val="336699"/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'!$W$450:$X$450</c:f>
            </c:multiLvlStrRef>
          </c:cat>
          <c:val>
            <c:numRef>
              <c:f>'Datos '!$W$455:$X$455</c:f>
            </c:numRef>
          </c:val>
        </c:ser>
        <c:dLbls>
          <c:showVal val="1"/>
        </c:dLbls>
        <c:axId val="52330496"/>
        <c:axId val="52332032"/>
      </c:barChart>
      <c:catAx>
        <c:axId val="523304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es-MX"/>
          </a:p>
        </c:txPr>
        <c:crossAx val="52332032"/>
        <c:crosses val="autoZero"/>
        <c:auto val="1"/>
        <c:lblAlgn val="ctr"/>
        <c:lblOffset val="100"/>
        <c:tickLblSkip val="1"/>
        <c:tickMarkSkip val="1"/>
      </c:catAx>
      <c:valAx>
        <c:axId val="52332032"/>
        <c:scaling>
          <c:orientation val="minMax"/>
          <c:max val="35"/>
        </c:scaling>
        <c:axPos val="l"/>
        <c:title>
          <c:tx>
            <c:rich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r>
                  <a:rPr lang="es-MX">
                    <a:solidFill>
                      <a:sysClr val="windowText" lastClr="000000"/>
                    </a:solidFill>
                  </a:rPr>
                  <a:t>Número de Personas</a:t>
                </a:r>
              </a:p>
            </c:rich>
          </c:tx>
          <c:layout>
            <c:manualLayout>
              <c:xMode val="edge"/>
              <c:yMode val="edge"/>
              <c:x val="0"/>
              <c:y val="0.30777596519848294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>
                <a:solidFill>
                  <a:sysClr val="windowText" lastClr="000000"/>
                </a:solidFill>
              </a:defRPr>
            </a:pPr>
            <a:endParaRPr lang="es-MX"/>
          </a:p>
        </c:txPr>
        <c:crossAx val="52330496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69145394006762E-3"/>
          <c:y val="1.9032082653616101E-2"/>
          <c:w val="0.98353966575487717"/>
          <c:h val="0.19361035824844897"/>
        </c:manualLayout>
      </c:layout>
      <c:spPr>
        <a:noFill/>
        <a:ln w="25400">
          <a:noFill/>
        </a:ln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es-MX"/>
        </a:p>
      </c:txPr>
    </c:legend>
    <c:plotVisOnly val="1"/>
    <c:dispBlanksAs val="gap"/>
  </c:chart>
  <c:spPr>
    <a:gradFill>
      <a:gsLst>
        <a:gs pos="0">
          <a:srgbClr val="777C84">
            <a:lumMod val="20000"/>
            <a:lumOff val="80000"/>
          </a:srgbClr>
        </a:gs>
        <a:gs pos="50000">
          <a:srgbClr val="777C84">
            <a:lumMod val="40000"/>
            <a:lumOff val="60000"/>
          </a:srgbClr>
        </a:gs>
        <a:gs pos="100000">
          <a:sysClr val="windowText" lastClr="000000">
            <a:lumMod val="75000"/>
            <a:lumOff val="25000"/>
          </a:sysClr>
        </a:gs>
      </a:gsLst>
      <a:lin ang="16200000" scaled="1"/>
    </a:gradFill>
    <a:ln w="9525">
      <a:noFill/>
    </a:ln>
  </c:spPr>
  <c:txPr>
    <a:bodyPr/>
    <a:lstStyle/>
    <a:p>
      <a:pPr>
        <a:defRPr sz="2200" b="0" i="0" u="none" strike="noStrike" baseline="0">
          <a:solidFill>
            <a:schemeClr val="bg1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876803551609326"/>
          <c:y val="4.8939641109298562E-2"/>
          <c:w val="0.7758046614872367"/>
          <c:h val="0.63675910821099369"/>
        </c:manualLayout>
      </c:layout>
      <c:barChart>
        <c:barDir val="col"/>
        <c:grouping val="clustered"/>
        <c:ser>
          <c:idx val="1"/>
          <c:order val="0"/>
          <c:tx>
            <c:strRef>
              <c:f>'Datos '!$I$478</c:f>
              <c:strCache>
                <c:ptCount val="1"/>
                <c:pt idx="0">
                  <c:v>Artículos en revistas indizadas </c:v>
                </c:pt>
              </c:strCache>
            </c:strRef>
          </c:tx>
          <c:spPr>
            <a:gradFill>
              <a:gsLst>
                <a:gs pos="0">
                  <a:srgbClr val="FE8637">
                    <a:lumMod val="50000"/>
                  </a:srgbClr>
                </a:gs>
                <a:gs pos="50000">
                  <a:srgbClr val="FE8637">
                    <a:lumMod val="75000"/>
                  </a:srgbClr>
                </a:gs>
                <a:gs pos="100000">
                  <a:schemeClr val="accent1">
                    <a:lumMod val="40000"/>
                    <a:lumOff val="60000"/>
                  </a:schemeClr>
                </a:gs>
              </a:gsLst>
              <a:lin ang="5400000" scaled="0"/>
            </a:gra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0"/>
                  <c:y val="0.16530723219140875"/>
                </c:manualLayout>
              </c:layout>
              <c:showVal val="1"/>
            </c:dLbl>
            <c:dLbl>
              <c:idx val="1"/>
              <c:layout>
                <c:manualLayout>
                  <c:x val="-1.4798372179060304E-3"/>
                  <c:y val="0.33061446438281794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5225666122892874E-2"/>
                </c:manualLayout>
              </c:layout>
              <c:showVal val="1"/>
            </c:dLbl>
            <c:dLbl>
              <c:idx val="3"/>
              <c:layout>
                <c:manualLayout>
                  <c:x val="0"/>
                  <c:y val="1.3050570962479609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8.7003806416530716E-3"/>
                </c:manualLayout>
              </c:layout>
              <c:showVal val="1"/>
            </c:dLbl>
            <c:showVal val="1"/>
          </c:dLbls>
          <c:cat>
            <c:multiLvlStrRef>
              <c:f>'Datos '!$W$477:$X$477</c:f>
            </c:multiLvlStrRef>
          </c:cat>
          <c:val>
            <c:numRef>
              <c:f>'Datos '!$W$478:$X$478</c:f>
            </c:numRef>
          </c:val>
        </c:ser>
        <c:ser>
          <c:idx val="0"/>
          <c:order val="1"/>
          <c:tx>
            <c:strRef>
              <c:f>'Datos '!$I$479</c:f>
              <c:strCache>
                <c:ptCount val="1"/>
                <c:pt idx="0">
                  <c:v>Artículos  en extenso en Congresos Internacionales</c:v>
                </c:pt>
              </c:strCache>
            </c:strRef>
          </c:tx>
          <c:spPr>
            <a:gradFill>
              <a:gsLst>
                <a:gs pos="0">
                  <a:srgbClr val="F5CD2D">
                    <a:lumMod val="75000"/>
                  </a:srgbClr>
                </a:gs>
                <a:gs pos="50000">
                  <a:srgbClr val="F5CD2D">
                    <a:lumMod val="40000"/>
                    <a:lumOff val="60000"/>
                  </a:srgbClr>
                </a:gs>
                <a:gs pos="100000">
                  <a:schemeClr val="accent4">
                    <a:lumMod val="20000"/>
                    <a:lumOff val="80000"/>
                  </a:schemeClr>
                </a:gs>
              </a:gsLst>
              <a:lin ang="5400000" scaled="0"/>
            </a:gra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1.4798372179060304E-3"/>
                  <c:y val="0.1065796628602502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0.14573137574768921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1.0875475802066506E-2"/>
                </c:manualLayout>
              </c:layout>
              <c:showVal val="1"/>
            </c:dLbl>
            <c:dLbl>
              <c:idx val="4"/>
              <c:layout>
                <c:manualLayout>
                  <c:x val="0"/>
                  <c:y val="8.7003806416530716E-3"/>
                </c:manualLayout>
              </c:layout>
              <c:dLblPos val="outEnd"/>
              <c:showVal val="1"/>
            </c:dLbl>
            <c:showVal val="1"/>
          </c:dLbls>
          <c:cat>
            <c:multiLvlStrRef>
              <c:f>'Datos '!$W$477:$X$477</c:f>
            </c:multiLvlStrRef>
          </c:cat>
          <c:val>
            <c:numRef>
              <c:f>'Datos '!$W$479:$X$479</c:f>
            </c:numRef>
          </c:val>
        </c:ser>
        <c:dLbls>
          <c:showVal val="1"/>
        </c:dLbls>
        <c:axId val="52853376"/>
        <c:axId val="52867456"/>
      </c:barChart>
      <c:lineChart>
        <c:grouping val="standard"/>
        <c:ser>
          <c:idx val="2"/>
          <c:order val="2"/>
          <c:tx>
            <c:strRef>
              <c:f>'Datos '!$I$480</c:f>
              <c:strCache>
                <c:ptCount val="1"/>
                <c:pt idx="0">
                  <c:v>Índice Total</c:v>
                </c:pt>
              </c:strCache>
            </c:strRef>
          </c:tx>
          <c:spPr>
            <a:ln w="44450">
              <a:solidFill>
                <a:srgbClr val="00206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60"/>
              </a:solidFill>
              <a:ln>
                <a:noFill/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dLbls>
            <c:dLbl>
              <c:idx val="0"/>
              <c:layout>
                <c:manualLayout>
                  <c:x val="-2.0717721050684423E-2"/>
                  <c:y val="-5.0027188689505155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4.4395116537180911E-3"/>
                  <c:y val="-1.7400761283306167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358860525342212E-2"/>
                  <c:y val="4.132680804785207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4798372179060304E-2"/>
                  <c:y val="4.132680804785207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6278325919581921E-2"/>
                  <c:y val="3.6976275192354656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>
                    <a:solidFill>
                      <a:srgbClr val="0000CC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'!$W$477:$X$477</c:f>
            </c:multiLvlStrRef>
          </c:cat>
          <c:val>
            <c:numRef>
              <c:f>'Datos '!$W$480:$X$480</c:f>
            </c:numRef>
          </c:val>
        </c:ser>
        <c:ser>
          <c:idx val="3"/>
          <c:order val="3"/>
          <c:tx>
            <c:strRef>
              <c:f>'Datos '!$I$481</c:f>
              <c:strCache>
                <c:ptCount val="1"/>
                <c:pt idx="0">
                  <c:v>Índice Revistas</c:v>
                </c:pt>
              </c:strCache>
            </c:strRef>
          </c:tx>
          <c:spPr>
            <a:ln w="44450">
              <a:solidFill>
                <a:srgbClr val="C00000"/>
              </a:solidFill>
            </a:ln>
          </c:spPr>
          <c:marker>
            <c:symbol val="circle"/>
            <c:size val="8"/>
            <c:spPr>
              <a:solidFill>
                <a:srgbClr val="C0000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1.7758046614872364E-2"/>
                  <c:y val="-4.567699836867862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8.8790233074361822E-3"/>
                  <c:y val="-1.5225666122892874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0358860525342212E-2"/>
                  <c:y val="-3.0451332245785816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1.7758046614872364E-2"/>
                  <c:y val="-3.697661772702635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1.6278325919581921E-2"/>
                  <c:y val="-3.4801522566612411E-2"/>
                </c:manualLayout>
              </c:layout>
              <c:dLblPos val="r"/>
              <c:showVal val="1"/>
            </c:dLbl>
            <c:txPr>
              <a:bodyPr/>
              <a:lstStyle/>
              <a:p>
                <a:pPr>
                  <a:defRPr>
                    <a:solidFill>
                      <a:srgbClr val="C00000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'!$W$477:$X$477</c:f>
            </c:multiLvlStrRef>
          </c:cat>
          <c:val>
            <c:numRef>
              <c:f>'Datos '!$W$481:$X$481</c:f>
            </c:numRef>
          </c:val>
        </c:ser>
        <c:dLbls>
          <c:showVal val="1"/>
        </c:dLbls>
        <c:marker val="1"/>
        <c:axId val="52869376"/>
        <c:axId val="52908032"/>
      </c:lineChart>
      <c:catAx>
        <c:axId val="52853376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52867456"/>
        <c:crossesAt val="0"/>
        <c:lblAlgn val="ctr"/>
        <c:lblOffset val="100"/>
        <c:tickLblSkip val="1"/>
        <c:tickMarkSkip val="1"/>
      </c:catAx>
      <c:valAx>
        <c:axId val="52867456"/>
        <c:scaling>
          <c:orientation val="minMax"/>
          <c:max val="55"/>
        </c:scaling>
        <c:axPos val="l"/>
        <c:title>
          <c:tx>
            <c:rich>
              <a:bodyPr/>
              <a:lstStyle/>
              <a:p>
                <a:pPr>
                  <a:defRPr sz="2000"/>
                </a:pPr>
                <a:r>
                  <a:rPr lang="es-MX" sz="2000"/>
                  <a:t>Número de Artículos</a:t>
                </a:r>
              </a:p>
            </c:rich>
          </c:tx>
          <c:layout>
            <c:manualLayout>
              <c:xMode val="edge"/>
              <c:yMode val="edge"/>
              <c:x val="0"/>
              <c:y val="0.18760195758564441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/>
            </a:pPr>
            <a:endParaRPr lang="es-MX"/>
          </a:p>
        </c:txPr>
        <c:crossAx val="52853376"/>
        <c:crosses val="autoZero"/>
        <c:crossBetween val="between"/>
        <c:majorUnit val="5"/>
      </c:valAx>
      <c:catAx>
        <c:axId val="52869376"/>
        <c:scaling>
          <c:orientation val="minMax"/>
        </c:scaling>
        <c:delete val="1"/>
        <c:axPos val="b"/>
        <c:numFmt formatCode="General" sourceLinked="1"/>
        <c:tickLblPos val="none"/>
        <c:crossAx val="52908032"/>
        <c:crosses val="autoZero"/>
        <c:lblAlgn val="ctr"/>
        <c:lblOffset val="100"/>
      </c:catAx>
      <c:valAx>
        <c:axId val="52908032"/>
        <c:scaling>
          <c:orientation val="minMax"/>
          <c:max val="5"/>
          <c:min val="0"/>
        </c:scaling>
        <c:axPos val="r"/>
        <c:title>
          <c:tx>
            <c:rich>
              <a:bodyPr rot="5400000" vert="horz"/>
              <a:lstStyle/>
              <a:p>
                <a:pPr algn="ctr">
                  <a:defRPr sz="2000"/>
                </a:pPr>
                <a:r>
                  <a:rPr lang="es-MX" sz="2000"/>
                  <a:t>Índice</a:t>
                </a:r>
              </a:p>
            </c:rich>
          </c:tx>
          <c:layout>
            <c:manualLayout>
              <c:xMode val="edge"/>
              <c:yMode val="edge"/>
              <c:x val="0.96189419163892065"/>
              <c:y val="0.27351821642196844"/>
            </c:manualLayout>
          </c:layout>
          <c:spPr>
            <a:noFill/>
            <a:ln w="25400">
              <a:noFill/>
            </a:ln>
          </c:spPr>
        </c:title>
        <c:numFmt formatCode="#,##0.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/>
            </a:pPr>
            <a:endParaRPr lang="es-MX"/>
          </a:p>
        </c:txPr>
        <c:crossAx val="52869376"/>
        <c:crosses val="max"/>
        <c:crossBetween val="between"/>
        <c:majorUnit val="0.5"/>
      </c:valAx>
      <c:spPr>
        <a:gradFill flip="none" rotWithShape="1">
          <a:gsLst>
            <a:gs pos="0">
              <a:srgbClr val="F5CD2D">
                <a:lumMod val="75000"/>
              </a:srgbClr>
            </a:gs>
            <a:gs pos="50000">
              <a:srgbClr val="F5CD2D">
                <a:lumMod val="40000"/>
                <a:lumOff val="60000"/>
              </a:srgbClr>
            </a:gs>
            <a:gs pos="50000">
              <a:srgbClr val="F5CD2D">
                <a:lumMod val="40000"/>
                <a:lumOff val="60000"/>
              </a:srgbClr>
            </a:gs>
            <a:gs pos="50000">
              <a:srgbClr val="F5CD2D">
                <a:lumMod val="40000"/>
                <a:lumOff val="60000"/>
              </a:srgbClr>
            </a:gs>
            <a:gs pos="50000">
              <a:srgbClr val="F5CD2D">
                <a:lumMod val="40000"/>
                <a:lumOff val="60000"/>
              </a:srgbClr>
            </a:gs>
          </a:gsLst>
          <a:path path="shape">
            <a:fillToRect l="50000" t="50000" r="50000" b="50000"/>
          </a:path>
          <a:tileRect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77270255573681368"/>
          <c:w val="1"/>
          <c:h val="0.22729744426318654"/>
        </c:manualLayout>
      </c:layout>
      <c:spPr>
        <a:noFill/>
        <a:ln w="25400">
          <a:noFill/>
        </a:ln>
      </c:spPr>
      <c:txPr>
        <a:bodyPr/>
        <a:lstStyle/>
        <a:p>
          <a:pPr>
            <a:defRPr sz="2000"/>
          </a:pPr>
          <a:endParaRPr lang="es-MX"/>
        </a:p>
      </c:txPr>
    </c:legend>
    <c:plotVisOnly val="1"/>
    <c:dispBlanksAs val="gap"/>
  </c:chart>
  <c:spPr>
    <a:gradFill>
      <a:gsLst>
        <a:gs pos="0">
          <a:srgbClr val="FE8637">
            <a:lumMod val="60000"/>
            <a:lumOff val="40000"/>
          </a:srgbClr>
        </a:gs>
        <a:gs pos="50000">
          <a:srgbClr val="F5CD2D">
            <a:lumMod val="40000"/>
            <a:lumOff val="60000"/>
          </a:srgbClr>
        </a:gs>
        <a:gs pos="50000">
          <a:srgbClr val="F5CD2D">
            <a:lumMod val="40000"/>
            <a:lumOff val="60000"/>
          </a:srgbClr>
        </a:gs>
        <a:gs pos="50000">
          <a:srgbClr val="FE8637">
            <a:lumMod val="75000"/>
          </a:srgbClr>
        </a:gs>
        <a:gs pos="50000">
          <a:schemeClr val="accent4">
            <a:lumMod val="40000"/>
            <a:lumOff val="60000"/>
          </a:schemeClr>
        </a:gs>
      </a:gsLst>
      <a:path path="shape">
        <a:fillToRect l="50000" t="50000" r="50000" b="50000"/>
      </a:path>
    </a:gradFill>
    <a:ln w="9525">
      <a:noFill/>
    </a:ln>
  </c:spPr>
  <c:txPr>
    <a:bodyPr/>
    <a:lstStyle/>
    <a:p>
      <a:pPr>
        <a:defRPr sz="2400" b="1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view3D>
      <c:rotX val="0"/>
      <c:hPercent val="75"/>
      <c:rotY val="0"/>
      <c:depthPercent val="100"/>
      <c:rAngAx val="1"/>
    </c:view3D>
    <c:floor>
      <c:spPr>
        <a:noFill/>
        <a:ln w="9525">
          <a:noFill/>
        </a:ln>
      </c:spPr>
    </c:floor>
    <c:sideWall>
      <c:spPr>
        <a:noFill/>
        <a:ln w="25400">
          <a:noFill/>
        </a:ln>
      </c:spPr>
    </c:sideWall>
    <c:backWall>
      <c:spPr>
        <a:noFill/>
        <a:ln w="25400">
          <a:noFill/>
        </a:ln>
      </c:spPr>
    </c:backWall>
    <c:plotArea>
      <c:layout/>
      <c:bar3DChart>
        <c:barDir val="col"/>
        <c:grouping val="percentStacked"/>
        <c:ser>
          <c:idx val="0"/>
          <c:order val="0"/>
          <c:tx>
            <c:strRef>
              <c:f>'Datos '!$I$486</c:f>
              <c:strCache>
                <c:ptCount val="1"/>
                <c:pt idx="0">
                  <c:v>Doctorado</c:v>
                </c:pt>
              </c:strCache>
            </c:strRef>
          </c:tx>
          <c:spPr>
            <a:gradFill>
              <a:gsLst>
                <a:gs pos="0">
                  <a:srgbClr val="7598D9">
                    <a:lumMod val="50000"/>
                  </a:srgbClr>
                </a:gs>
                <a:gs pos="50000">
                  <a:srgbClr val="FF00FF"/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'!$W$485:$X$485</c:f>
            </c:multiLvlStrRef>
          </c:cat>
          <c:val>
            <c:numRef>
              <c:f>'Datos '!$W$486:$X$486</c:f>
            </c:numRef>
          </c:val>
        </c:ser>
        <c:ser>
          <c:idx val="1"/>
          <c:order val="1"/>
          <c:tx>
            <c:strRef>
              <c:f>'Datos '!$I$487</c:f>
              <c:strCache>
                <c:ptCount val="1"/>
                <c:pt idx="0">
                  <c:v>Maestría</c:v>
                </c:pt>
              </c:strCache>
            </c:strRef>
          </c:tx>
          <c:spPr>
            <a:gradFill>
              <a:gsLst>
                <a:gs pos="0">
                  <a:srgbClr val="003399"/>
                </a:gs>
                <a:gs pos="50000">
                  <a:srgbClr val="99FF33"/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multiLvlStrRef>
              <c:f>'Datos '!$W$485:$X$485</c:f>
            </c:multiLvlStrRef>
          </c:cat>
          <c:val>
            <c:numRef>
              <c:f>'Datos '!$W$487:$X$487</c:f>
            </c:numRef>
          </c:val>
        </c:ser>
        <c:ser>
          <c:idx val="2"/>
          <c:order val="2"/>
          <c:tx>
            <c:strRef>
              <c:f>'Datos '!$I$488</c:f>
              <c:strCache>
                <c:ptCount val="1"/>
                <c:pt idx="0">
                  <c:v>Licenciatura</c:v>
                </c:pt>
              </c:strCache>
            </c:strRef>
          </c:tx>
          <c:spPr>
            <a:gradFill>
              <a:gsLst>
                <a:gs pos="0">
                  <a:srgbClr val="003399"/>
                </a:gs>
                <a:gs pos="50000">
                  <a:schemeClr val="accent4">
                    <a:lumMod val="40000"/>
                    <a:lumOff val="60000"/>
                  </a:schemeClr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/>
            </a:sp3d>
          </c:spPr>
          <c:dLbls>
            <c:showVal val="1"/>
          </c:dLbls>
          <c:cat>
            <c:multiLvlStrRef>
              <c:f>'Datos '!$W$485:$X$485</c:f>
            </c:multiLvlStrRef>
          </c:cat>
          <c:val>
            <c:numRef>
              <c:f>'Datos '!$W$488:$X$488</c:f>
            </c:numRef>
          </c:val>
        </c:ser>
        <c:ser>
          <c:idx val="3"/>
          <c:order val="3"/>
          <c:tx>
            <c:strRef>
              <c:f>'Datos '!$I$489</c:f>
              <c:strCache>
                <c:ptCount val="1"/>
                <c:pt idx="0">
                  <c:v>Total  </c:v>
                </c:pt>
              </c:strCache>
            </c:strRef>
          </c:tx>
          <c:spPr>
            <a:gradFill>
              <a:gsLst>
                <a:gs pos="0">
                  <a:srgbClr val="003399"/>
                </a:gs>
                <a:gs pos="50000">
                  <a:srgbClr val="336699"/>
                </a:gs>
                <a:gs pos="100000">
                  <a:sysClr val="windowText" lastClr="000000">
                    <a:lumMod val="75000"/>
                    <a:lumOff val="25000"/>
                  </a:sysClr>
                </a:gs>
              </a:gsLst>
              <a:lin ang="1620000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'!$W$485:$X$485</c:f>
            </c:multiLvlStrRef>
          </c:cat>
          <c:val>
            <c:numRef>
              <c:f>'Datos '!$W$489:$X$489</c:f>
            </c:numRef>
          </c:val>
        </c:ser>
        <c:gapWidth val="55"/>
        <c:gapDepth val="55"/>
        <c:shape val="box"/>
        <c:axId val="129470848"/>
        <c:axId val="129472384"/>
        <c:axId val="0"/>
      </c:bar3DChart>
      <c:catAx>
        <c:axId val="129470848"/>
        <c:scaling>
          <c:orientation val="minMax"/>
        </c:scaling>
        <c:axPos val="b"/>
        <c:numFmt formatCode="General" sourceLinked="1"/>
        <c:maj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>
                <a:solidFill>
                  <a:schemeClr val="bg1"/>
                </a:solidFill>
              </a:defRPr>
            </a:pPr>
            <a:endParaRPr lang="es-MX"/>
          </a:p>
        </c:txPr>
        <c:crossAx val="129472384"/>
        <c:crosses val="autoZero"/>
        <c:auto val="1"/>
        <c:lblAlgn val="ctr"/>
        <c:lblOffset val="100"/>
        <c:tickLblSkip val="1"/>
        <c:tickMarkSkip val="1"/>
      </c:catAx>
      <c:valAx>
        <c:axId val="129472384"/>
        <c:scaling>
          <c:orientation val="minMax"/>
          <c:max val="1"/>
          <c:min val="0"/>
        </c:scaling>
        <c:axPos val="l"/>
        <c:numFmt formatCode="0%" sourceLinked="1"/>
        <c:majorTickMark val="none"/>
        <c:tickLblPos val="none"/>
        <c:crossAx val="1294708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spPr>
        <a:noFill/>
        <a:ln w="25400">
          <a:noFill/>
        </a:ln>
      </c:spPr>
      <c:txPr>
        <a:bodyPr/>
        <a:lstStyle/>
        <a:p>
          <a:pPr>
            <a:defRPr sz="2400" b="1">
              <a:solidFill>
                <a:schemeClr val="bg1"/>
              </a:solidFill>
            </a:defRPr>
          </a:pPr>
          <a:endParaRPr lang="es-MX"/>
        </a:p>
      </c:txPr>
    </c:legend>
    <c:plotVisOnly val="1"/>
    <c:dispBlanksAs val="gap"/>
  </c:chart>
  <c:spPr>
    <a:gradFill flip="none" rotWithShape="1">
      <a:gsLst>
        <a:gs pos="0">
          <a:srgbClr val="003399"/>
        </a:gs>
        <a:gs pos="50000">
          <a:srgbClr val="336699"/>
        </a:gs>
        <a:gs pos="100000">
          <a:sysClr val="windowText" lastClr="000000">
            <a:lumMod val="75000"/>
            <a:lumOff val="25000"/>
          </a:sysClr>
        </a:gs>
      </a:gsLst>
      <a:lin ang="0" scaled="1"/>
      <a:tileRect/>
    </a:gradFill>
    <a:ln w="9525">
      <a:noFill/>
    </a:ln>
  </c:spPr>
  <c:txPr>
    <a:bodyPr/>
    <a:lstStyle/>
    <a:p>
      <a:pPr>
        <a:defRPr sz="24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8.1239425159268727E-2"/>
          <c:y val="0.15989715328091209"/>
          <c:w val="0.71688299539625056"/>
          <c:h val="0.53213547345044065"/>
        </c:manualLayout>
      </c:layout>
      <c:barChart>
        <c:barDir val="col"/>
        <c:grouping val="clustered"/>
        <c:ser>
          <c:idx val="0"/>
          <c:order val="0"/>
          <c:tx>
            <c:strRef>
              <c:f>'Datos '!$N$632</c:f>
              <c:strCache>
                <c:ptCount val="1"/>
                <c:pt idx="0">
                  <c:v>Modificado </c:v>
                </c:pt>
              </c:strCache>
            </c:strRef>
          </c:tx>
          <c:spPr>
            <a:solidFill>
              <a:schemeClr val="accent1"/>
            </a:solidFill>
            <a:effectLst>
              <a:innerShdw blurRad="101600" dist="50800" dir="18900000">
                <a:srgbClr val="FF0000">
                  <a:alpha val="50000"/>
                </a:srgbClr>
              </a:inn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4.5186165888555967E-3"/>
                  <c:y val="-9.094367791182065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7261688442790821E-3"/>
                  <c:y val="9.3231527877197227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2.0713564650572552E-3"/>
                  <c:y val="-3.4966992762268411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0"/>
                  <c:y val="1.010101010101018E-2"/>
                </c:manualLayout>
              </c:layout>
              <c:dLblPos val="outEnd"/>
              <c:showVal val="1"/>
            </c:dLbl>
            <c:dLbl>
              <c:idx val="6"/>
              <c:layout>
                <c:manualLayout>
                  <c:x val="-2.8461826887024272E-3"/>
                  <c:y val="8.2360614014157039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-5.3470623864324924E-3"/>
                  <c:y val="1.2820488348047757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'!$I$633:$I$640</c:f>
              <c:strCache>
                <c:ptCount val="8"/>
                <c:pt idx="0">
                  <c:v>Servicios Personales</c:v>
                </c:pt>
                <c:pt idx="1">
                  <c:v>Materiales y Suministros</c:v>
                </c:pt>
                <c:pt idx="2">
                  <c:v>Servicios Generales</c:v>
                </c:pt>
                <c:pt idx="3">
                  <c:v>Becas</c:v>
                </c:pt>
                <c:pt idx="4">
                  <c:v>Bienes Muebles e Inmuebles</c:v>
                </c:pt>
                <c:pt idx="5">
                  <c:v>Obra Pública</c:v>
                </c:pt>
                <c:pt idx="6">
                  <c:v>Transferencias Fideicomiso</c:v>
                </c:pt>
                <c:pt idx="7">
                  <c:v>Total</c:v>
                </c:pt>
              </c:strCache>
            </c:strRef>
          </c:cat>
          <c:val>
            <c:numRef>
              <c:f>'Datos '!$N$633:$N$640</c:f>
            </c:numRef>
          </c:val>
        </c:ser>
        <c:ser>
          <c:idx val="1"/>
          <c:order val="1"/>
          <c:tx>
            <c:strRef>
              <c:f>'Datos '!$O$632</c:f>
              <c:strCache>
                <c:ptCount val="1"/>
                <c:pt idx="0">
                  <c:v>Ejercido</c:v>
                </c:pt>
              </c:strCache>
            </c:strRef>
          </c:tx>
          <c:spPr>
            <a:solidFill>
              <a:srgbClr val="92D05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3.6208858848396212E-3"/>
                  <c:y val="1.4914878759421143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8.4220241700557264E-5"/>
                  <c:y val="1.08002863278454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3.1913703094805456E-3"/>
                  <c:y val="9.3239481428457806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1.1537019411035543E-7"/>
                  <c:y val="8.779925236618154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7.2417458708861834E-3"/>
                  <c:y val="7.6923076923077014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3.9660811629316211E-3"/>
                  <c:y val="6.7598822874414023E-3"/>
                </c:manualLayout>
              </c:layout>
              <c:dLblPos val="outEnd"/>
              <c:showVal val="1"/>
            </c:dLbl>
            <c:dLbl>
              <c:idx val="7"/>
              <c:layout>
                <c:manualLayout>
                  <c:x val="1.7261688442790821E-3"/>
                  <c:y val="-4.9728783902013461E-3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strRef>
              <c:f>'Datos '!$I$633:$I$640</c:f>
              <c:strCache>
                <c:ptCount val="8"/>
                <c:pt idx="0">
                  <c:v>Servicios Personales</c:v>
                </c:pt>
                <c:pt idx="1">
                  <c:v>Materiales y Suministros</c:v>
                </c:pt>
                <c:pt idx="2">
                  <c:v>Servicios Generales</c:v>
                </c:pt>
                <c:pt idx="3">
                  <c:v>Becas</c:v>
                </c:pt>
                <c:pt idx="4">
                  <c:v>Bienes Muebles e Inmuebles</c:v>
                </c:pt>
                <c:pt idx="5">
                  <c:v>Obra Pública</c:v>
                </c:pt>
                <c:pt idx="6">
                  <c:v>Transferencias Fideicomiso</c:v>
                </c:pt>
                <c:pt idx="7">
                  <c:v>Total</c:v>
                </c:pt>
              </c:strCache>
            </c:strRef>
          </c:cat>
          <c:val>
            <c:numRef>
              <c:f>'Datos '!$O$633:$O$640</c:f>
            </c:numRef>
          </c:val>
        </c:ser>
        <c:gapWidth val="25"/>
        <c:axId val="129432192"/>
        <c:axId val="130621824"/>
      </c:barChart>
      <c:catAx>
        <c:axId val="129432192"/>
        <c:scaling>
          <c:orientation val="minMax"/>
        </c:scaling>
        <c:axPos val="b"/>
        <c:numFmt formatCode="General" sourceLinked="1"/>
        <c:tickLblPos val="nextTo"/>
        <c:txPr>
          <a:bodyPr rot="-270000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0621824"/>
        <c:crossesAt val="0"/>
        <c:auto val="1"/>
        <c:lblAlgn val="ctr"/>
        <c:lblOffset val="100"/>
        <c:tickMarkSkip val="1"/>
      </c:catAx>
      <c:valAx>
        <c:axId val="130621824"/>
        <c:scaling>
          <c:orientation val="minMax"/>
          <c:max val="200"/>
          <c:min val="0"/>
        </c:scaling>
        <c:axPos val="l"/>
        <c:numFmt formatCode="#,##0" sourceLinked="0"/>
        <c:tickLblPos val="nextTo"/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29432192"/>
        <c:crosses val="autoZero"/>
        <c:crossBetween val="between"/>
        <c:majorUnit val="25"/>
        <c:minorUnit val="4"/>
      </c:valAx>
    </c:plotArea>
    <c:legend>
      <c:legendPos val="r"/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ln>
      <a:noFill/>
    </a:ln>
    <a:effectLst>
      <a:outerShdw blurRad="50800" dist="50800" dir="5400000" algn="ctr" rotWithShape="0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1857980006894174"/>
          <c:y val="0.12542372881355898"/>
          <c:w val="0.77697345742847568"/>
          <c:h val="0.75084745762712057"/>
        </c:manualLayout>
      </c:layout>
      <c:barChart>
        <c:barDir val="col"/>
        <c:grouping val="clustered"/>
        <c:ser>
          <c:idx val="0"/>
          <c:order val="0"/>
          <c:tx>
            <c:strRef>
              <c:f>'Datos '!$I$494</c:f>
              <c:strCache>
                <c:ptCount val="1"/>
                <c:pt idx="0">
                  <c:v>Nivel III</c:v>
                </c:pt>
              </c:strCache>
            </c:strRef>
          </c:tx>
          <c:spPr>
            <a:solidFill>
              <a:srgbClr val="0033CC"/>
            </a:solidFill>
            <a:ln w="25400">
              <a:noFill/>
            </a:ln>
          </c:spPr>
          <c:dLbls>
            <c:dLbl>
              <c:idx val="0"/>
              <c:delete val="1"/>
            </c:dLbl>
            <c:dLbl>
              <c:idx val="1"/>
              <c:layout>
                <c:manualLayout>
                  <c:x val="-6.869203397145495E-4"/>
                  <c:y val="-2.734285332977465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1005708050713472E-3"/>
                  <c:y val="-1.0225899728635855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4.8009510703612176E-4"/>
                  <c:y val="-8.8021709150764068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8.9374557239291067E-4"/>
                  <c:y val="-3.9886115930424836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multiLvlStrRef>
              <c:f>'Datos '!$X$493</c:f>
            </c:multiLvlStrRef>
          </c:cat>
          <c:val>
            <c:numRef>
              <c:f>'Datos '!$X$494</c:f>
            </c:numRef>
          </c:val>
        </c:ser>
        <c:ser>
          <c:idx val="1"/>
          <c:order val="1"/>
          <c:tx>
            <c:strRef>
              <c:f>'Datos '!$I$495</c:f>
              <c:strCache>
                <c:ptCount val="1"/>
                <c:pt idx="0">
                  <c:v>Nivel II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2.8029433239149244E-3"/>
                  <c:y val="-2.361564126518079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9.1991086429605803E-4"/>
                  <c:y val="-2.531055651941816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4.8313505796265322E-4"/>
                  <c:y val="-2.9954713287957693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9.415162298094178E-4"/>
                  <c:y val="8.2494772899146726E-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3.4234190219500937E-3"/>
                  <c:y val="-3.2766582143333254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rgbClr val="0000CC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'!$X$493</c:f>
            </c:multiLvlStrRef>
          </c:cat>
          <c:val>
            <c:numRef>
              <c:f>'Datos '!$X$495</c:f>
            </c:numRef>
          </c:val>
        </c:ser>
        <c:ser>
          <c:idx val="2"/>
          <c:order val="2"/>
          <c:tx>
            <c:strRef>
              <c:f>'Datos '!$I$496</c:f>
              <c:strCache>
                <c:ptCount val="1"/>
                <c:pt idx="0">
                  <c:v>Nivel I</c:v>
                </c:pt>
              </c:strCache>
            </c:strRef>
          </c:tx>
          <c:spPr>
            <a:gradFill>
              <a:gsLst>
                <a:gs pos="0">
                  <a:srgbClr val="575F6D">
                    <a:lumMod val="50000"/>
                  </a:srgbClr>
                </a:gs>
                <a:gs pos="50000">
                  <a:prstClr val="white"/>
                </a:gs>
                <a:gs pos="100000">
                  <a:schemeClr val="tx1"/>
                </a:gs>
              </a:gsLst>
              <a:lin ang="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 prstMaterial="dkEdge">
              <a:bevelT prst="angle"/>
            </a:sp3d>
          </c:spPr>
          <c:dLbls>
            <c:dLbl>
              <c:idx val="0"/>
              <c:layout>
                <c:manualLayout>
                  <c:x val="9.1697948304553093E-4"/>
                  <c:y val="1.875884158547998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537455181080646E-3"/>
                  <c:y val="-5.1749632990791914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6.1150784280196539E-3"/>
                  <c:y val="-3.208861604163898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6.9149112307186622E-3"/>
                  <c:y val="-2.5615730237110192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3.840000868557561E-3"/>
                  <c:y val="-5.2767471862629426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800">
                    <a:solidFill>
                      <a:srgbClr val="0000CC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'!$X$493</c:f>
            </c:multiLvlStrRef>
          </c:cat>
          <c:val>
            <c:numRef>
              <c:f>'Datos '!$X$496</c:f>
            </c:numRef>
          </c:val>
        </c:ser>
        <c:ser>
          <c:idx val="3"/>
          <c:order val="3"/>
          <c:tx>
            <c:strRef>
              <c:f>'Datos '!$I$497</c:f>
              <c:strCache>
                <c:ptCount val="1"/>
                <c:pt idx="0">
                  <c:v>Candidato</c:v>
                </c:pt>
              </c:strCache>
            </c:strRef>
          </c:tx>
          <c:spPr>
            <a:gradFill>
              <a:gsLst>
                <a:gs pos="0">
                  <a:prstClr val="white">
                    <a:lumMod val="50000"/>
                  </a:prstClr>
                </a:gs>
                <a:gs pos="50000">
                  <a:srgbClr val="99FF33"/>
                </a:gs>
                <a:gs pos="100000">
                  <a:prstClr val="black"/>
                </a:gs>
              </a:gsLst>
              <a:lin ang="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 prstMaterial="softEdge">
              <a:bevelT prst="angle"/>
            </a:sp3d>
          </c:spPr>
          <c:dLbls>
            <c:dLbl>
              <c:idx val="0"/>
              <c:layout>
                <c:manualLayout>
                  <c:x val="-6.2329850960979956E-4"/>
                  <c:y val="-2.3615641265180794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0369489749666228E-3"/>
                  <c:y val="-2.5751323457449574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6517790498524901E-3"/>
                  <c:y val="-2.1378353129587625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2.8983760690720452E-3"/>
                  <c:y val="6.5554517549711695E-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0964804425301832E-4"/>
                  <c:y val="-8.0902175363674767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800">
                    <a:solidFill>
                      <a:srgbClr val="0000CC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'!$X$493</c:f>
            </c:multiLvlStrRef>
          </c:cat>
          <c:val>
            <c:numRef>
              <c:f>'Datos '!$X$497</c:f>
            </c:numRef>
          </c:val>
        </c:ser>
        <c:ser>
          <c:idx val="4"/>
          <c:order val="4"/>
          <c:tx>
            <c:strRef>
              <c:f>'Datos '!$I$498</c:f>
              <c:strCache>
                <c:ptCount val="1"/>
                <c:pt idx="0">
                  <c:v>T o t a l</c:v>
                </c:pt>
              </c:strCache>
            </c:strRef>
          </c:tx>
          <c:spPr>
            <a:gradFill>
              <a:gsLst>
                <a:gs pos="0">
                  <a:srgbClr val="FFF39D">
                    <a:lumMod val="10000"/>
                  </a:srgbClr>
                </a:gs>
                <a:gs pos="50000">
                  <a:schemeClr val="bg2"/>
                </a:gs>
                <a:gs pos="100000">
                  <a:prstClr val="black"/>
                </a:gs>
              </a:gsLst>
              <a:lin ang="0" scaled="1"/>
            </a:gradFill>
            <a:ln w="25400">
              <a:noFill/>
            </a:ln>
            <a:scene3d>
              <a:camera prst="orthographicFront"/>
              <a:lightRig rig="threePt" dir="t"/>
            </a:scene3d>
            <a:sp3d>
              <a:bevelT prst="angle"/>
            </a:sp3d>
          </c:spPr>
          <c:dLbls>
            <c:dLbl>
              <c:idx val="0"/>
              <c:layout>
                <c:manualLayout>
                  <c:x val="1.0282634008908441E-3"/>
                  <c:y val="-8.0564082032120767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4.1951322785791157E-4"/>
                  <c:y val="-8.7681836380623067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8.3316369321467191E-4"/>
                  <c:y val="-2.700475999822044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2.1268799517949456E-4"/>
                  <c:y val="3.1656212464965653E-4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6.2633846053627984E-4"/>
                  <c:y val="-4.3275946438898786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800">
                    <a:solidFill>
                      <a:srgbClr val="0000CC"/>
                    </a:solidFill>
                  </a:defRPr>
                </a:pPr>
                <a:endParaRPr lang="es-MX"/>
              </a:p>
            </c:txPr>
            <c:showVal val="1"/>
          </c:dLbls>
          <c:cat>
            <c:multiLvlStrRef>
              <c:f>'Datos '!$X$493</c:f>
            </c:multiLvlStrRef>
          </c:cat>
          <c:val>
            <c:numRef>
              <c:f>'Datos '!$X$498</c:f>
            </c:numRef>
          </c:val>
        </c:ser>
        <c:dLbls>
          <c:showVal val="1"/>
        </c:dLbls>
        <c:axId val="131217664"/>
        <c:axId val="131256320"/>
      </c:barChart>
      <c:catAx>
        <c:axId val="13121766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i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31256320"/>
        <c:crosses val="autoZero"/>
        <c:auto val="1"/>
        <c:lblAlgn val="ctr"/>
        <c:lblOffset val="100"/>
        <c:tickLblSkip val="1"/>
        <c:tickMarkSkip val="1"/>
      </c:catAx>
      <c:valAx>
        <c:axId val="131256320"/>
        <c:scaling>
          <c:orientation val="minMax"/>
          <c:max val="15"/>
        </c:scaling>
        <c:axPos val="l"/>
        <c:title>
          <c:tx>
            <c:rich>
              <a:bodyPr/>
              <a:lstStyle/>
              <a:p>
                <a:pPr>
                  <a:defRPr sz="240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s-MX" sz="2400" i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Investigadores  en el  SNI</a:t>
                </a:r>
              </a:p>
            </c:rich>
          </c:tx>
          <c:layout>
            <c:manualLayout>
              <c:xMode val="edge"/>
              <c:yMode val="edge"/>
              <c:x val="3.4470872113064586E-4"/>
              <c:y val="0.19830508474576294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rgbClr val="0000CC"/>
                </a:solidFill>
              </a:defRPr>
            </a:pPr>
            <a:endParaRPr lang="es-MX"/>
          </a:p>
        </c:txPr>
        <c:crossAx val="131217664"/>
        <c:crosses val="autoZero"/>
        <c:crossBetween val="between"/>
        <c:majorUnit val="3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663219579455355"/>
          <c:y val="0.18474576271186474"/>
          <c:w val="0.20234401930368837"/>
          <c:h val="0.59548022598869965"/>
        </c:manualLayout>
      </c:layout>
      <c:spPr>
        <a:noFill/>
        <a:ln w="25400">
          <a:noFill/>
        </a:ln>
      </c:spPr>
      <c:txPr>
        <a:bodyPr/>
        <a:lstStyle/>
        <a:p>
          <a:pPr>
            <a:defRPr>
              <a:solidFill>
                <a:schemeClr val="bg1"/>
              </a:solidFill>
            </a:defRPr>
          </a:pPr>
          <a:endParaRPr lang="es-MX"/>
        </a:p>
      </c:txPr>
    </c:legend>
    <c:plotVisOnly val="1"/>
    <c:dispBlanksAs val="gap"/>
  </c:chart>
  <c:spPr>
    <a:gradFill>
      <a:gsLst>
        <a:gs pos="0">
          <a:sysClr val="window" lastClr="FFFFFF"/>
        </a:gs>
        <a:gs pos="50000">
          <a:schemeClr val="accent2">
            <a:lumMod val="60000"/>
            <a:lumOff val="40000"/>
          </a:schemeClr>
        </a:gs>
        <a:gs pos="100000">
          <a:prstClr val="black"/>
        </a:gs>
      </a:gsLst>
      <a:lin ang="0" scaled="1"/>
    </a:gradFill>
    <a:ln w="9525">
      <a:noFill/>
    </a:ln>
  </c:spPr>
  <c:txPr>
    <a:bodyPr/>
    <a:lstStyle/>
    <a:p>
      <a:pPr>
        <a:defRPr sz="2400" b="1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4317425083241012"/>
          <c:y val="0.28765633496465903"/>
          <c:w val="0.7229004809470958"/>
          <c:h val="0.54975530179445353"/>
        </c:manualLayout>
      </c:layout>
      <c:barChart>
        <c:barDir val="col"/>
        <c:grouping val="clustered"/>
        <c:ser>
          <c:idx val="1"/>
          <c:order val="0"/>
          <c:tx>
            <c:strRef>
              <c:f>'Datos '!$I$524</c:f>
              <c:strCache>
                <c:ptCount val="1"/>
                <c:pt idx="0">
                  <c:v>Maestría en Ciencia de Materiales</c:v>
                </c:pt>
              </c:strCache>
            </c:strRef>
          </c:tx>
          <c:spPr>
            <a:solidFill>
              <a:srgbClr val="0000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5.3966284181181908E-3"/>
                  <c:y val="1.7340988983228646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6684844194697641E-3"/>
                  <c:y val="1.7748776508972271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3.3248563130496038E-3"/>
                  <c:y val="1.0978750005352127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6.9214433656394043E-5"/>
                  <c:y val="1.243606376282907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4.5827179482697848E-3"/>
                  <c:y val="7.5258292550299073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multiLvlStrRef>
              <c:f>'Datos '!$V$523:$W$523</c:f>
            </c:multiLvlStrRef>
          </c:cat>
          <c:val>
            <c:numRef>
              <c:f>'Datos '!$V$524:$W$524</c:f>
            </c:numRef>
          </c:val>
        </c:ser>
        <c:ser>
          <c:idx val="0"/>
          <c:order val="1"/>
          <c:tx>
            <c:strRef>
              <c:f>'Datos '!$I$525</c:f>
              <c:strCache>
                <c:ptCount val="1"/>
                <c:pt idx="0">
                  <c:v>Doctorado en Ciencia de Materiales</c:v>
                </c:pt>
              </c:strCache>
            </c:strRef>
          </c:tx>
          <c:spPr>
            <a:solidFill>
              <a:srgbClr val="A6CAF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5.6977228567849664E-3"/>
                  <c:y val="1.5530008178015281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4458097010903997E-4"/>
                  <c:y val="1.1756474975701446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7.3956904110627738E-4"/>
                  <c:y val="-1.718325176726496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0362356203809141E-3"/>
                  <c:y val="-7.966328841847442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2.7373492852795092E-3"/>
                  <c:y val="2.9961507666354499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multiLvlStrRef>
              <c:f>'Datos '!$V$523:$W$523</c:f>
            </c:multiLvlStrRef>
          </c:cat>
          <c:val>
            <c:numRef>
              <c:f>'Datos '!$V$525:$W$525</c:f>
            </c:numRef>
          </c:val>
        </c:ser>
        <c:axId val="52192000"/>
        <c:axId val="52193536"/>
      </c:barChart>
      <c:lineChart>
        <c:grouping val="standard"/>
        <c:ser>
          <c:idx val="3"/>
          <c:order val="2"/>
          <c:tx>
            <c:strRef>
              <c:f>'Datos '!$I$526</c:f>
              <c:strCache>
                <c:ptCount val="1"/>
                <c:pt idx="0">
                  <c:v>Índice: alumnos por investigador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9"/>
            <c:spPr>
              <a:solidFill>
                <a:srgbClr val="C00000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4.0177580466148721E-2"/>
                  <c:y val="-4.28257397678470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rgbClr val="C00000"/>
                      </a:solidFill>
                    </a:defRPr>
                  </a:pPr>
                  <a:endParaRPr lang="es-MX"/>
                </a:p>
              </c:txPr>
              <c:dLblPos val="r"/>
              <c:showVal val="1"/>
            </c:dLbl>
            <c:dLbl>
              <c:idx val="1"/>
              <c:layout>
                <c:manualLayout>
                  <c:x val="-5.4679985201627819E-2"/>
                  <c:y val="-4.28435515707355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>
                      <a:solidFill>
                        <a:srgbClr val="C00000"/>
                      </a:solidFill>
                    </a:defRPr>
                  </a:pPr>
                  <a:endParaRPr lang="es-MX"/>
                </a:p>
              </c:txPr>
              <c:dLblPos val="r"/>
              <c:showVal val="1"/>
            </c:dLbl>
            <c:dLbl>
              <c:idx val="2"/>
              <c:layout>
                <c:manualLayout>
                  <c:x val="-2.3677395486497194E-2"/>
                  <c:y val="-2.384058436414856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2641509433962252E-2"/>
                  <c:y val="-3.3564458602544187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4.2175360710321325E-3"/>
                  <c:y val="-9.6426935213848666E-3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multiLvlStrRef>
              <c:f>'Datos '!$V$523:$W$523</c:f>
            </c:multiLvlStrRef>
          </c:cat>
          <c:val>
            <c:numRef>
              <c:f>'Datos '!$V$526:$W$526</c:f>
            </c:numRef>
          </c:val>
        </c:ser>
        <c:marker val="1"/>
        <c:axId val="52212096"/>
        <c:axId val="52213632"/>
      </c:lineChart>
      <c:catAx>
        <c:axId val="52192000"/>
        <c:scaling>
          <c:orientation val="minMax"/>
        </c:scaling>
        <c:axPos val="b"/>
        <c:numFmt formatCode="General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i="1"/>
            </a:pPr>
            <a:endParaRPr lang="es-MX"/>
          </a:p>
        </c:txPr>
        <c:crossAx val="52193536"/>
        <c:crosses val="autoZero"/>
        <c:lblAlgn val="ctr"/>
        <c:lblOffset val="100"/>
        <c:tickLblSkip val="1"/>
        <c:tickMarkSkip val="1"/>
      </c:catAx>
      <c:valAx>
        <c:axId val="52193536"/>
        <c:scaling>
          <c:orientation val="minMax"/>
          <c:max val="25"/>
        </c:scaling>
        <c:axPos val="l"/>
        <c:title>
          <c:tx>
            <c:rich>
              <a:bodyPr/>
              <a:lstStyle/>
              <a:p>
                <a:pPr>
                  <a:defRPr>
                    <a:solidFill>
                      <a:schemeClr val="tx1">
                        <a:lumMod val="85000"/>
                        <a:lumOff val="15000"/>
                      </a:schemeClr>
                    </a:solidFill>
                  </a:defRPr>
                </a:pPr>
                <a:r>
                  <a:rPr lang="es-MX">
                    <a:solidFill>
                      <a:schemeClr val="tx1">
                        <a:lumMod val="85000"/>
                        <a:lumOff val="15000"/>
                      </a:schemeClr>
                    </a:solidFill>
                  </a:rPr>
                  <a:t>Número de Alumnos</a:t>
                </a:r>
              </a:p>
            </c:rich>
          </c:tx>
          <c:layout>
            <c:manualLayout>
              <c:xMode val="edge"/>
              <c:yMode val="edge"/>
              <c:x val="1.1838697743248243E-2"/>
              <c:y val="0.26590538336052238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endParaRPr lang="es-MX"/>
          </a:p>
        </c:txPr>
        <c:crossAx val="52192000"/>
        <c:crosses val="autoZero"/>
        <c:crossBetween val="between"/>
        <c:majorUnit val="5"/>
      </c:valAx>
      <c:catAx>
        <c:axId val="52212096"/>
        <c:scaling>
          <c:orientation val="minMax"/>
        </c:scaling>
        <c:delete val="1"/>
        <c:axPos val="b"/>
        <c:numFmt formatCode="General" sourceLinked="1"/>
        <c:tickLblPos val="none"/>
        <c:crossAx val="52213632"/>
        <c:crosses val="autoZero"/>
        <c:lblAlgn val="ctr"/>
        <c:lblOffset val="100"/>
      </c:catAx>
      <c:valAx>
        <c:axId val="52213632"/>
        <c:scaling>
          <c:orientation val="minMax"/>
          <c:max val="2.5"/>
        </c:scaling>
        <c:axPos val="r"/>
        <c:numFmt formatCode="#,##0.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>
                <a:solidFill>
                  <a:schemeClr val="tx1">
                    <a:lumMod val="85000"/>
                    <a:lumOff val="15000"/>
                  </a:schemeClr>
                </a:solidFill>
              </a:defRPr>
            </a:pPr>
            <a:endParaRPr lang="es-MX"/>
          </a:p>
        </c:txPr>
        <c:crossAx val="52212096"/>
        <c:crosses val="max"/>
        <c:crossBetween val="between"/>
        <c:majorUnit val="0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358860525342212"/>
          <c:y val="1.5769439912996203E-2"/>
          <c:w val="0.74990751017389334"/>
          <c:h val="0.19032082653616095"/>
        </c:manualLayout>
      </c:layout>
      <c:spPr>
        <a:noFill/>
        <a:ln w="25400">
          <a:noFill/>
        </a:ln>
      </c:spPr>
      <c:txPr>
        <a:bodyPr/>
        <a:lstStyle/>
        <a:p>
          <a:pPr>
            <a:defRPr sz="2000">
              <a:solidFill>
                <a:schemeClr val="tx1">
                  <a:lumMod val="85000"/>
                  <a:lumOff val="15000"/>
                </a:schemeClr>
              </a:solidFill>
            </a:defRPr>
          </a:pPr>
          <a:endParaRPr lang="es-MX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2400" b="1" i="0" u="none" strike="noStrike" baseline="0">
          <a:solidFill>
            <a:srgbClr val="0000CC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1028656702039932"/>
          <c:y val="0.10342134733158474"/>
          <c:w val="0.76840026377245252"/>
          <c:h val="0.63556710411198558"/>
        </c:manualLayout>
      </c:layout>
      <c:barChart>
        <c:barDir val="col"/>
        <c:grouping val="clustered"/>
        <c:ser>
          <c:idx val="1"/>
          <c:order val="0"/>
          <c:tx>
            <c:strRef>
              <c:f>'Datos '!$I$145</c:f>
              <c:strCache>
                <c:ptCount val="1"/>
                <c:pt idx="0">
                  <c:v>Graduados de Maestría </c:v>
                </c:pt>
              </c:strCache>
            </c:strRef>
          </c:tx>
          <c:spPr>
            <a:solidFill>
              <a:srgbClr val="00CCFF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-2.7070534052278002E-3"/>
                  <c:y val="4.7309176075666032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9522140753493742E-3"/>
                  <c:y val="-4.200673936965049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6.2258033506079418E-4"/>
                  <c:y val="-6.1176692228312533E-4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9.9422572178480191E-4"/>
                  <c:y val="-7.5223097112860904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5266841644794406E-4"/>
                  <c:y val="7.4223972003499734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endParaRPr lang="es-MX"/>
              </a:p>
            </c:txPr>
            <c:showVal val="1"/>
          </c:dLbls>
          <c:cat>
            <c:strRef>
              <c:f>'Datos '!$S$144:$W$144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strCache>
            </c:strRef>
          </c:cat>
          <c:val>
            <c:numRef>
              <c:f>'Datos '!$S$145:$W$145</c:f>
              <c:numCache>
                <c:formatCode>General</c:formatCode>
                <c:ptCount val="5"/>
                <c:pt idx="0">
                  <c:v>19</c:v>
                </c:pt>
                <c:pt idx="1">
                  <c:v>16</c:v>
                </c:pt>
                <c:pt idx="2">
                  <c:v>21</c:v>
                </c:pt>
                <c:pt idx="3">
                  <c:v>22</c:v>
                </c:pt>
                <c:pt idx="4">
                  <c:v>15</c:v>
                </c:pt>
              </c:numCache>
            </c:numRef>
          </c:val>
        </c:ser>
        <c:ser>
          <c:idx val="0"/>
          <c:order val="1"/>
          <c:tx>
            <c:strRef>
              <c:f>'Datos '!$I$146</c:f>
              <c:strCache>
                <c:ptCount val="1"/>
                <c:pt idx="0">
                  <c:v>Graduados de Doctorado</c:v>
                </c:pt>
              </c:strCache>
            </c:strRef>
          </c:tx>
          <c:spPr>
            <a:solidFill>
              <a:srgbClr val="333399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1.4698162729658793E-4"/>
                  <c:y val="8.5725284339458526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7012540099154321E-3"/>
                  <c:y val="9.797025371828522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8.6642169728784208E-3"/>
                  <c:y val="1.5804024496938211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1.4698162729658793E-4"/>
                  <c:y val="1.2793175853018559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2.0000000000000052E-3"/>
                  <c:y val="1.3657742782152231E-2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showVal val="1"/>
          </c:dLbls>
          <c:cat>
            <c:strRef>
              <c:f>'Datos '!$S$144:$W$144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strCache>
            </c:strRef>
          </c:cat>
          <c:val>
            <c:numRef>
              <c:f>'Datos '!$S$146:$W$146</c:f>
              <c:numCache>
                <c:formatCode>General</c:formatCode>
                <c:ptCount val="5"/>
                <c:pt idx="0">
                  <c:v>12</c:v>
                </c:pt>
                <c:pt idx="1">
                  <c:v>24</c:v>
                </c:pt>
                <c:pt idx="2">
                  <c:v>26</c:v>
                </c:pt>
                <c:pt idx="3">
                  <c:v>18</c:v>
                </c:pt>
                <c:pt idx="4">
                  <c:v>19</c:v>
                </c:pt>
              </c:numCache>
            </c:numRef>
          </c:val>
        </c:ser>
        <c:dLbls>
          <c:showVal val="1"/>
        </c:dLbls>
        <c:axId val="135944448"/>
        <c:axId val="135962624"/>
      </c:barChart>
      <c:lineChart>
        <c:grouping val="standard"/>
        <c:ser>
          <c:idx val="2"/>
          <c:order val="2"/>
          <c:tx>
            <c:strRef>
              <c:f>'Datos '!$I$147</c:f>
              <c:strCache>
                <c:ptCount val="1"/>
                <c:pt idx="0">
                  <c:v>Tiempo Promedio Graduación Maestría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7.9541833075526831E-3"/>
                  <c:y val="-3.7552932310867392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2.2025780110819612E-2"/>
                  <c:y val="-4.5724059492563425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3.8698629337999398E-2"/>
                  <c:y val="-5.520384951881014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6470224555264408E-2"/>
                  <c:y val="-3.7335608048994016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9755497229512991E-2"/>
                  <c:y val="-3.598687664042001E-2"/>
                </c:manualLayout>
              </c:layout>
              <c:dLblPos val="r"/>
              <c:showVal val="1"/>
            </c:dLbl>
            <c:dLbl>
              <c:idx val="5"/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s-MX"/>
              </a:p>
            </c:txPr>
            <c:showVal val="1"/>
          </c:dLbls>
          <c:cat>
            <c:strRef>
              <c:f>'Datos '!$S$144:$W$144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strCache>
            </c:strRef>
          </c:cat>
          <c:val>
            <c:numRef>
              <c:f>'Datos '!$S$147:$W$147</c:f>
              <c:numCache>
                <c:formatCode>0.0</c:formatCode>
                <c:ptCount val="5"/>
                <c:pt idx="0" formatCode="General">
                  <c:v>2.9</c:v>
                </c:pt>
                <c:pt idx="1">
                  <c:v>3</c:v>
                </c:pt>
                <c:pt idx="2" formatCode="General">
                  <c:v>2.4</c:v>
                </c:pt>
                <c:pt idx="3" formatCode="General">
                  <c:v>2.5</c:v>
                </c:pt>
                <c:pt idx="4" formatCode="General">
                  <c:v>2.9</c:v>
                </c:pt>
              </c:numCache>
            </c:numRef>
          </c:val>
        </c:ser>
        <c:ser>
          <c:idx val="3"/>
          <c:order val="3"/>
          <c:tx>
            <c:strRef>
              <c:f>'Datos '!$I$148</c:f>
              <c:strCache>
                <c:ptCount val="1"/>
                <c:pt idx="0">
                  <c:v>Tiempo Promedio Graduación Doctorado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dLbls>
            <c:dLbl>
              <c:idx val="0"/>
              <c:layout>
                <c:manualLayout>
                  <c:x val="-2.7931985749284589E-2"/>
                  <c:y val="-3.5334335247245809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3.5146716538346392E-3"/>
                  <c:y val="-3.0440371136316011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1283817047841305E-2"/>
                  <c:y val="-4.8221859706361073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5949256342957085E-3"/>
                  <c:y val="-4.5031671041120727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3.9030764883579885E-2"/>
                  <c:y val="-4.5122263469105507E-2"/>
                </c:manualLayout>
              </c:layout>
              <c:dLblPos val="r"/>
              <c:showVal val="1"/>
            </c:dLbl>
            <c:dLbl>
              <c:idx val="5"/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>
                    <a:solidFill>
                      <a:srgbClr val="0000CC"/>
                    </a:solidFill>
                  </a:defRPr>
                </a:pPr>
                <a:endParaRPr lang="es-MX"/>
              </a:p>
            </c:txPr>
            <c:showVal val="1"/>
          </c:dLbls>
          <c:cat>
            <c:strRef>
              <c:f>'Datos '!$S$144:$W$144</c:f>
              <c:strCach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strCache>
            </c:strRef>
          </c:cat>
          <c:val>
            <c:numRef>
              <c:f>'Datos '!$S$148:$W$148</c:f>
              <c:numCache>
                <c:formatCode>General</c:formatCode>
                <c:ptCount val="5"/>
                <c:pt idx="0">
                  <c:v>3.8</c:v>
                </c:pt>
                <c:pt idx="1">
                  <c:v>4.4000000000000004</c:v>
                </c:pt>
                <c:pt idx="2">
                  <c:v>4.3</c:v>
                </c:pt>
                <c:pt idx="3">
                  <c:v>4.4000000000000004</c:v>
                </c:pt>
                <c:pt idx="4" formatCode="0.0">
                  <c:v>4</c:v>
                </c:pt>
              </c:numCache>
            </c:numRef>
          </c:val>
        </c:ser>
        <c:dLbls>
          <c:showVal val="1"/>
        </c:dLbls>
        <c:marker val="1"/>
        <c:axId val="135964544"/>
        <c:axId val="135966080"/>
      </c:lineChart>
      <c:catAx>
        <c:axId val="13594444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i="1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35962624"/>
        <c:crosses val="autoZero"/>
        <c:lblAlgn val="ctr"/>
        <c:lblOffset val="100"/>
        <c:tickLblSkip val="1"/>
        <c:tickMarkSkip val="1"/>
      </c:catAx>
      <c:valAx>
        <c:axId val="135962624"/>
        <c:scaling>
          <c:orientation val="minMax"/>
          <c:max val="50"/>
        </c:scaling>
        <c:axPos val="l"/>
        <c:title>
          <c:tx>
            <c:rich>
              <a:bodyPr/>
              <a:lstStyle/>
              <a:p>
                <a:pPr>
                  <a:defRPr b="1">
                    <a:solidFill>
                      <a:schemeClr val="tx1">
                        <a:lumMod val="75000"/>
                        <a:lumOff val="25000"/>
                      </a:schemeClr>
                    </a:solidFill>
                  </a:defRPr>
                </a:pPr>
                <a:r>
                  <a:rPr lang="es-MX" b="1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Número de Alumnos Graduados</a:t>
                </a:r>
              </a:p>
            </c:rich>
          </c:tx>
          <c:layout>
            <c:manualLayout>
              <c:xMode val="edge"/>
              <c:yMode val="edge"/>
              <c:x val="1.1186934966462697E-3"/>
              <c:y val="0.1512887139107612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35944448"/>
        <c:crosses val="autoZero"/>
        <c:crossBetween val="between"/>
      </c:valAx>
      <c:catAx>
        <c:axId val="135964544"/>
        <c:scaling>
          <c:orientation val="minMax"/>
        </c:scaling>
        <c:delete val="1"/>
        <c:axPos val="b"/>
        <c:numFmt formatCode="General" sourceLinked="1"/>
        <c:tickLblPos val="none"/>
        <c:crossAx val="135966080"/>
        <c:crosses val="autoZero"/>
        <c:lblAlgn val="ctr"/>
        <c:lblOffset val="100"/>
      </c:catAx>
      <c:valAx>
        <c:axId val="135966080"/>
        <c:scaling>
          <c:orientation val="minMax"/>
          <c:max val="4.5"/>
        </c:scaling>
        <c:axPos val="r"/>
        <c:title>
          <c:tx>
            <c:rich>
              <a:bodyPr rot="5400000" vert="horz"/>
              <a:lstStyle/>
              <a:p>
                <a:pPr algn="ctr">
                  <a:defRPr b="1">
                    <a:solidFill>
                      <a:srgbClr val="FF0000"/>
                    </a:solidFill>
                  </a:defRPr>
                </a:pPr>
                <a:r>
                  <a:rPr lang="es-MX" b="1">
                    <a:solidFill>
                      <a:srgbClr val="FF0000"/>
                    </a:solidFill>
                  </a:rPr>
                  <a:t>Tiempo Promedio de Graduación (años)</a:t>
                </a:r>
              </a:p>
            </c:rich>
          </c:tx>
          <c:layout>
            <c:manualLayout>
              <c:xMode val="edge"/>
              <c:yMode val="edge"/>
              <c:x val="0.94001563137941968"/>
              <c:y val="0.103816972878390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>
                <a:solidFill>
                  <a:schemeClr val="tx1">
                    <a:lumMod val="75000"/>
                    <a:lumOff val="25000"/>
                  </a:schemeClr>
                </a:solidFill>
              </a:defRPr>
            </a:pPr>
            <a:endParaRPr lang="es-MX"/>
          </a:p>
        </c:txPr>
        <c:crossAx val="135964544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9889180519101683E-3"/>
          <c:y val="0.83107489063868734"/>
          <c:w val="0.99001108194808951"/>
          <c:h val="0.10670288713910582"/>
        </c:manualLayout>
      </c:layout>
      <c:spPr>
        <a:noFill/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>
        <c:manualLayout>
          <c:layoutTarget val="inner"/>
          <c:xMode val="edge"/>
          <c:yMode val="edge"/>
          <c:x val="0.23455419903810584"/>
          <c:y val="0.19575856443719444"/>
          <c:w val="0.76544580096190062"/>
          <c:h val="0.70581837955410565"/>
        </c:manualLayout>
      </c:layout>
      <c:barChart>
        <c:barDir val="col"/>
        <c:grouping val="clustered"/>
        <c:ser>
          <c:idx val="1"/>
          <c:order val="0"/>
          <c:tx>
            <c:strRef>
              <c:f>'Datos '!$I$570</c:f>
              <c:strCache>
                <c:ptCount val="1"/>
                <c:pt idx="0">
                  <c:v>PRESUPUESTO EJERCIDO FISCALES POR CAP. DE GASTO NOMINALES</c:v>
                </c:pt>
              </c:strCache>
            </c:strRef>
          </c:tx>
          <c:spPr>
            <a:solidFill>
              <a:srgbClr val="008000"/>
            </a:solidFill>
            <a:ln w="25400">
              <a:noFill/>
            </a:ln>
          </c:spPr>
          <c:dLbls>
            <c:dLbl>
              <c:idx val="0"/>
              <c:layout>
                <c:manualLayout>
                  <c:x val="7.8431372549019724E-4"/>
                  <c:y val="4.9175990032242134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-1.2874583795782735E-3"/>
                  <c:y val="7.3084910063241377E-3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5601183869775018E-3"/>
                  <c:y val="6.2344735456192034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-6.2153163152053512E-4"/>
                  <c:y val="3.641999888676307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8.4350721420643727E-4"/>
                  <c:y val="4.3118264376822424E-3"/>
                </c:manualLayout>
              </c:layout>
              <c:dLblPos val="outEnd"/>
              <c:showVal val="1"/>
            </c:dLbl>
            <c:dLbl>
              <c:idx val="5"/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'!$L$570:$M$570</c:f>
            </c:numRef>
          </c:val>
        </c:ser>
        <c:ser>
          <c:idx val="2"/>
          <c:order val="1"/>
          <c:tx>
            <c:strRef>
              <c:f>'Datos '!$I$571</c:f>
              <c:strCache>
                <c:ptCount val="1"/>
              </c:strCache>
            </c:strRef>
          </c:tx>
          <c:spPr>
            <a:solidFill>
              <a:schemeClr val="accent6">
                <a:lumMod val="75000"/>
              </a:schemeClr>
            </a:solidFill>
            <a:ln w="38100">
              <a:noFill/>
              <a:prstDash val="solid"/>
            </a:ln>
          </c:spPr>
          <c:dLbls>
            <c:dLbl>
              <c:idx val="0"/>
              <c:layout>
                <c:manualLayout>
                  <c:x val="2.4786690786848093E-3"/>
                  <c:y val="-1.2574447769885281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1.1468155825693821E-3"/>
                  <c:y val="-3.4099326491203962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1.8515443616163246E-4"/>
                  <c:y val="5.7494444515807216E-4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2.5526609395800978E-3"/>
                  <c:y val="3.2734325827542886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6.2898907891787207E-4"/>
                  <c:y val="2.6154234798952758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'!$L$571:$M$571</c:f>
            </c:numRef>
          </c:val>
        </c:ser>
        <c:ser>
          <c:idx val="0"/>
          <c:order val="2"/>
          <c:tx>
            <c:strRef>
              <c:f>'Datos '!$I$572</c:f>
              <c:strCache>
                <c:ptCount val="1"/>
                <c:pt idx="0">
                  <c:v>SERVICIOS PERSONALES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'!$L$572:$M$572</c:f>
            </c:numRef>
          </c:val>
        </c:ser>
        <c:ser>
          <c:idx val="3"/>
          <c:order val="3"/>
          <c:tx>
            <c:strRef>
              <c:f>'Datos '!$I$573</c:f>
              <c:strCache>
                <c:ptCount val="1"/>
                <c:pt idx="0">
                  <c:v>MATERIALES Y SUMINISTROS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'!$L$573:$M$573</c:f>
            </c:numRef>
          </c:val>
        </c:ser>
        <c:ser>
          <c:idx val="4"/>
          <c:order val="4"/>
          <c:tx>
            <c:strRef>
              <c:f>'Datos '!$I$574</c:f>
              <c:strCache>
                <c:ptCount val="1"/>
                <c:pt idx="0">
                  <c:v>SERVICIOS GENERALES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'!$L$574:$M$574</c:f>
            </c:numRef>
          </c:val>
        </c:ser>
        <c:ser>
          <c:idx val="5"/>
          <c:order val="5"/>
          <c:tx>
            <c:strRef>
              <c:f>'Datos '!$I$575</c:f>
              <c:strCache>
                <c:ptCount val="1"/>
                <c:pt idx="0">
                  <c:v>TRANSFERENCIAS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'!$L$575:$M$575</c:f>
            </c:numRef>
          </c:val>
        </c:ser>
        <c:ser>
          <c:idx val="6"/>
          <c:order val="6"/>
          <c:tx>
            <c:strRef>
              <c:f>'Datos '!$I$576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'!$L$576:$M$576</c:f>
            </c:numRef>
          </c:val>
        </c:ser>
        <c:ser>
          <c:idx val="7"/>
          <c:order val="7"/>
          <c:tx>
            <c:strRef>
              <c:f>'Datos '!$I$577</c:f>
              <c:strCache>
                <c:ptCount val="1"/>
                <c:pt idx="0">
                  <c:v>BIENES MUEBLES E INMUEBLES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'!$L$577:$M$577</c:f>
            </c:numRef>
          </c:val>
        </c:ser>
        <c:ser>
          <c:idx val="8"/>
          <c:order val="8"/>
          <c:tx>
            <c:strRef>
              <c:f>'Datos '!$I$578</c:f>
              <c:strCache>
                <c:ptCount val="1"/>
                <c:pt idx="0">
                  <c:v>OBRA PÚBLICA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'!$L$578:$M$578</c:f>
            </c:numRef>
          </c:val>
        </c:ser>
        <c:ser>
          <c:idx val="9"/>
          <c:order val="9"/>
          <c:tx>
            <c:strRef>
              <c:f>'Datos '!$I$579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'!$L$579:$M$579</c:f>
            </c:numRef>
          </c:val>
        </c:ser>
        <c:ser>
          <c:idx val="10"/>
          <c:order val="10"/>
          <c:tx>
            <c:strRef>
              <c:f>'Datos '!$I$580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'!$L$580:$M$580</c:f>
            </c:numRef>
          </c:val>
        </c:ser>
        <c:ser>
          <c:idx val="11"/>
          <c:order val="11"/>
          <c:tx>
            <c:strRef>
              <c:f>'Datos '!$I$581</c:f>
              <c:strCache>
                <c:ptCount val="1"/>
                <c:pt idx="0">
                  <c:v>TOTAL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'!$L$581:$M$581</c:f>
            </c:numRef>
          </c:val>
        </c:ser>
        <c:ser>
          <c:idx val="12"/>
          <c:order val="12"/>
          <c:tx>
            <c:strRef>
              <c:f>'Datos '!$I$582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'!$L$582:$M$582</c:f>
            </c:numRef>
          </c:val>
        </c:ser>
        <c:ser>
          <c:idx val="13"/>
          <c:order val="13"/>
          <c:tx>
            <c:strRef>
              <c:f>'Datos '!$I$583</c:f>
              <c:strCache>
                <c:ptCount val="1"/>
                <c:pt idx="0">
                  <c:v>PRESUPUESTO EJERCIDO FISCALES POR CAP. DE GASTO NOMINALES EN MILES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'!$L$583:$M$583</c:f>
            </c:numRef>
          </c:val>
        </c:ser>
        <c:ser>
          <c:idx val="14"/>
          <c:order val="14"/>
          <c:tx>
            <c:strRef>
              <c:f>'Datos '!$I$584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'!$L$584:$M$584</c:f>
            </c:numRef>
          </c:val>
        </c:ser>
        <c:ser>
          <c:idx val="15"/>
          <c:order val="15"/>
          <c:tx>
            <c:strRef>
              <c:f>'Datos '!$I$585</c:f>
              <c:strCache>
                <c:ptCount val="1"/>
                <c:pt idx="0">
                  <c:v>Servicios Personales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'!$L$585:$M$585</c:f>
            </c:numRef>
          </c:val>
        </c:ser>
        <c:ser>
          <c:idx val="16"/>
          <c:order val="16"/>
          <c:tx>
            <c:strRef>
              <c:f>'Datos '!$I$586</c:f>
              <c:strCache>
                <c:ptCount val="1"/>
                <c:pt idx="0">
                  <c:v>Materiales y Suministros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'!$L$586:$M$586</c:f>
            </c:numRef>
          </c:val>
        </c:ser>
        <c:ser>
          <c:idx val="17"/>
          <c:order val="17"/>
          <c:tx>
            <c:strRef>
              <c:f>'Datos '!$I$587</c:f>
              <c:strCache>
                <c:ptCount val="1"/>
                <c:pt idx="0">
                  <c:v>Servicios Generales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'!$L$587:$M$587</c:f>
            </c:numRef>
          </c:val>
        </c:ser>
        <c:ser>
          <c:idx val="18"/>
          <c:order val="18"/>
          <c:tx>
            <c:strRef>
              <c:f>'Datos '!$I$588</c:f>
              <c:strCache>
                <c:ptCount val="1"/>
                <c:pt idx="0">
                  <c:v>Transferencias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'!$L$588:$M$588</c:f>
            </c:numRef>
          </c:val>
        </c:ser>
        <c:ser>
          <c:idx val="19"/>
          <c:order val="19"/>
          <c:tx>
            <c:strRef>
              <c:f>'Datos '!$I$589</c:f>
              <c:strCache>
                <c:ptCount val="1"/>
                <c:pt idx="0">
                  <c:v>Bienes Muebles e Inmuebles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'!$L$589:$M$589</c:f>
            </c:numRef>
          </c:val>
        </c:ser>
        <c:ser>
          <c:idx val="20"/>
          <c:order val="20"/>
          <c:tx>
            <c:strRef>
              <c:f>'Datos '!$I$590</c:f>
              <c:strCache>
                <c:ptCount val="1"/>
                <c:pt idx="0">
                  <c:v>Obra Pública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'!$L$590:$M$590</c:f>
            </c:numRef>
          </c:val>
        </c:ser>
        <c:ser>
          <c:idx val="21"/>
          <c:order val="21"/>
          <c:tx>
            <c:strRef>
              <c:f>'Datos '!$I$591</c:f>
              <c:strCache>
                <c:ptCount val="1"/>
                <c:pt idx="0">
                  <c:v>Totales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'!$L$591:$M$591</c:f>
            </c:numRef>
          </c:val>
        </c:ser>
        <c:ser>
          <c:idx val="22"/>
          <c:order val="22"/>
          <c:tx>
            <c:strRef>
              <c:f>'Datos '!$I$592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'!$L$592:$M$592</c:f>
            </c:numRef>
          </c:val>
        </c:ser>
        <c:ser>
          <c:idx val="23"/>
          <c:order val="23"/>
          <c:tx>
            <c:strRef>
              <c:f>'Datos '!$I$593</c:f>
              <c:strCache>
                <c:ptCount val="1"/>
                <c:pt idx="0">
                  <c:v>PRESUPUESTO EJERCIDO FISCALES POR CAP. DE GASTO NOMINALES EN MILLONES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'!$L$593:$M$593</c:f>
            </c:numRef>
          </c:val>
        </c:ser>
        <c:ser>
          <c:idx val="24"/>
          <c:order val="24"/>
          <c:tx>
            <c:strRef>
              <c:f>'Datos '!$I$594</c:f>
              <c:strCache>
                <c:ptCount val="1"/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'!$L$594:$M$594</c:f>
            </c:numRef>
          </c:val>
        </c:ser>
        <c:ser>
          <c:idx val="25"/>
          <c:order val="25"/>
          <c:tx>
            <c:strRef>
              <c:f>'Datos '!$I$595</c:f>
              <c:strCache>
                <c:ptCount val="1"/>
                <c:pt idx="0">
                  <c:v>Servicios Personales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'!$L$595:$M$595</c:f>
            </c:numRef>
          </c:val>
        </c:ser>
        <c:ser>
          <c:idx val="26"/>
          <c:order val="26"/>
          <c:tx>
            <c:strRef>
              <c:f>'Datos '!$I$596</c:f>
              <c:strCache>
                <c:ptCount val="1"/>
                <c:pt idx="0">
                  <c:v>Materiales y Suministros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'!$L$596:$M$596</c:f>
            </c:numRef>
          </c:val>
        </c:ser>
        <c:ser>
          <c:idx val="27"/>
          <c:order val="27"/>
          <c:tx>
            <c:strRef>
              <c:f>'Datos '!$I$597</c:f>
              <c:strCache>
                <c:ptCount val="1"/>
                <c:pt idx="0">
                  <c:v>Servicios Generales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'!$L$597:$M$597</c:f>
            </c:numRef>
          </c:val>
        </c:ser>
        <c:ser>
          <c:idx val="28"/>
          <c:order val="28"/>
          <c:tx>
            <c:strRef>
              <c:f>'Datos '!$I$598</c:f>
              <c:strCache>
                <c:ptCount val="1"/>
                <c:pt idx="0">
                  <c:v>Transferencias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'!$L$598:$M$598</c:f>
            </c:numRef>
          </c:val>
        </c:ser>
        <c:ser>
          <c:idx val="29"/>
          <c:order val="29"/>
          <c:tx>
            <c:strRef>
              <c:f>'Datos '!$I$599</c:f>
              <c:strCache>
                <c:ptCount val="1"/>
                <c:pt idx="0">
                  <c:v>Bienes Muebles e Inmuebles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'!$L$599:$M$599</c:f>
            </c:numRef>
          </c:val>
        </c:ser>
        <c:ser>
          <c:idx val="30"/>
          <c:order val="30"/>
          <c:tx>
            <c:strRef>
              <c:f>'Datos '!$I$600</c:f>
              <c:strCache>
                <c:ptCount val="1"/>
                <c:pt idx="0">
                  <c:v>Obra Pública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'!$L$600:$M$600</c:f>
            </c:numRef>
          </c:val>
        </c:ser>
        <c:ser>
          <c:idx val="31"/>
          <c:order val="31"/>
          <c:tx>
            <c:strRef>
              <c:f>'Datos '!$I$601</c:f>
              <c:strCache>
                <c:ptCount val="1"/>
                <c:pt idx="0">
                  <c:v>Totales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00008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multiLvlStrRef>
              <c:f>'Datos '!$L$569:$M$569</c:f>
            </c:multiLvlStrRef>
          </c:cat>
          <c:val>
            <c:numRef>
              <c:f>'Datos '!$L$601:$M$601</c:f>
            </c:numRef>
          </c:val>
        </c:ser>
        <c:ser>
          <c:idx val="32"/>
          <c:order val="32"/>
          <c:tx>
            <c:strRef>
              <c:f>'Datos '!$I$602</c:f>
              <c:strCache>
                <c:ptCount val="1"/>
                <c:pt idx="0">
                  <c:v>Total CIMAV</c:v>
                </c:pt>
              </c:strCache>
            </c:strRef>
          </c:tx>
          <c:spPr>
            <a:solidFill>
              <a:srgbClr val="CA1300"/>
            </a:solidFill>
          </c:spPr>
          <c:cat>
            <c:multiLvlStrRef>
              <c:f>'Datos '!$L$569:$M$569</c:f>
            </c:multiLvlStrRef>
          </c:cat>
          <c:val>
            <c:numRef>
              <c:f>'Datos '!$L$602:$M$602</c:f>
            </c:numRef>
          </c:val>
        </c:ser>
        <c:ser>
          <c:idx val="33"/>
          <c:order val="33"/>
          <c:tx>
            <c:strRef>
              <c:f>'Datos '!$I$603</c:f>
              <c:strCache>
                <c:ptCount val="1"/>
                <c:pt idx="0">
                  <c:v>Unidad Monterrey </c:v>
                </c:pt>
              </c:strCache>
            </c:strRef>
          </c:tx>
          <c:spPr>
            <a:solidFill>
              <a:srgbClr val="FFC000"/>
            </a:solidFill>
          </c:spPr>
          <c:dLbls>
            <c:dLbl>
              <c:idx val="2"/>
              <c:layout>
                <c:manualLayout>
                  <c:x val="8.8790233074361822E-3"/>
                  <c:y val="2.1750951604132679E-3"/>
                </c:manualLayout>
              </c:layout>
              <c:showVal val="1"/>
            </c:dLbl>
            <c:showVal val="1"/>
          </c:dLbls>
          <c:cat>
            <c:multiLvlStrRef>
              <c:f>'Datos '!$L$569:$M$569</c:f>
            </c:multiLvlStrRef>
          </c:cat>
          <c:val>
            <c:numRef>
              <c:f>'Datos '!$L$603:$M$603</c:f>
            </c:numRef>
          </c:val>
        </c:ser>
        <c:dLbls>
          <c:showVal val="1"/>
        </c:dLbls>
        <c:axId val="136629248"/>
        <c:axId val="136663808"/>
      </c:barChart>
      <c:catAx>
        <c:axId val="136629248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36663808"/>
        <c:crosses val="autoZero"/>
        <c:lblAlgn val="ctr"/>
        <c:lblOffset val="100"/>
        <c:tickLblSkip val="1"/>
        <c:tickMarkSkip val="1"/>
      </c:catAx>
      <c:valAx>
        <c:axId val="136663808"/>
        <c:scaling>
          <c:orientation val="minMax"/>
        </c:scaling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Miles de $ </a:t>
                </a:r>
              </a:p>
            </c:rich>
          </c:tx>
          <c:layout>
            <c:manualLayout>
              <c:xMode val="edge"/>
              <c:yMode val="edge"/>
              <c:x val="0"/>
              <c:y val="0.34420880913539981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MX"/>
          </a:p>
        </c:txPr>
        <c:crossAx val="136629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7499075101738992"/>
          <c:y val="1.468189233278956E-2"/>
          <c:w val="0.76524969339989068"/>
          <c:h val="0.17703630439343737"/>
        </c:manualLayout>
      </c:layout>
      <c:spPr>
        <a:noFill/>
        <a:ln w="25400">
          <a:noFill/>
        </a:ln>
      </c:spPr>
    </c:legend>
    <c:plotVisOnly val="1"/>
    <c:dispBlanksAs val="gap"/>
  </c:chart>
  <c:spPr>
    <a:noFill/>
    <a:ln w="9525">
      <a:noFill/>
    </a:ln>
  </c:spPr>
  <c:txPr>
    <a:bodyPr/>
    <a:lstStyle/>
    <a:p>
      <a:pPr>
        <a:defRPr sz="2400" b="1" i="0" u="none" strike="noStrike" baseline="0">
          <a:solidFill>
            <a:sysClr val="windowText" lastClr="000000"/>
          </a:solidFill>
          <a:latin typeface="+mn-lt"/>
          <a:ea typeface="Arial"/>
          <a:cs typeface="Arial"/>
        </a:defRPr>
      </a:pPr>
      <a:endParaRPr lang="es-MX"/>
    </a:p>
  </c:txPr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s-MX"/>
              <a:t>Clasificación del Personal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'Datos '!$I$4</c:f>
              <c:strCache>
                <c:ptCount val="1"/>
                <c:pt idx="0">
                  <c:v>Científico y Tecnológico</c:v>
                </c:pt>
              </c:strCache>
            </c:strRef>
          </c:tx>
          <c:cat>
            <c:strRef>
              <c:f>'Datos '!$J$3:$Y$3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'Datos '!$J$4:$Y$4</c:f>
              <c:numCache>
                <c:formatCode>General</c:formatCode>
                <c:ptCount val="10"/>
                <c:pt idx="0" formatCode="#,##0">
                  <c:v>97</c:v>
                </c:pt>
                <c:pt idx="1">
                  <c:v>99</c:v>
                </c:pt>
                <c:pt idx="2">
                  <c:v>103</c:v>
                </c:pt>
                <c:pt idx="3">
                  <c:v>110</c:v>
                </c:pt>
                <c:pt idx="4" formatCode="#,##0">
                  <c:v>124</c:v>
                </c:pt>
                <c:pt idx="5" formatCode="#,##0">
                  <c:v>130</c:v>
                </c:pt>
                <c:pt idx="6" formatCode="#,##0">
                  <c:v>134</c:v>
                </c:pt>
                <c:pt idx="7" formatCode="#,##0">
                  <c:v>136</c:v>
                </c:pt>
                <c:pt idx="8" formatCode="#,##0">
                  <c:v>139</c:v>
                </c:pt>
                <c:pt idx="9" formatCode="#,##0">
                  <c:v>143</c:v>
                </c:pt>
              </c:numCache>
            </c:numRef>
          </c:val>
        </c:ser>
        <c:ser>
          <c:idx val="1"/>
          <c:order val="1"/>
          <c:tx>
            <c:strRef>
              <c:f>'Datos '!$I$5</c:f>
              <c:strCache>
                <c:ptCount val="1"/>
                <c:pt idx="0">
                  <c:v>Mandos Medios</c:v>
                </c:pt>
              </c:strCache>
            </c:strRef>
          </c:tx>
          <c:cat>
            <c:strRef>
              <c:f>'Datos '!$J$3:$Y$3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'Datos '!$J$5:$Y$5</c:f>
              <c:numCache>
                <c:formatCode>General</c:formatCode>
                <c:ptCount val="10"/>
                <c:pt idx="0" formatCode="#,##0">
                  <c:v>20</c:v>
                </c:pt>
                <c:pt idx="1">
                  <c:v>17</c:v>
                </c:pt>
                <c:pt idx="2">
                  <c:v>16</c:v>
                </c:pt>
                <c:pt idx="3">
                  <c:v>16</c:v>
                </c:pt>
                <c:pt idx="4" formatCode="#,##0">
                  <c:v>16</c:v>
                </c:pt>
                <c:pt idx="5" formatCode="#,##0">
                  <c:v>16</c:v>
                </c:pt>
                <c:pt idx="6" formatCode="#,##0">
                  <c:v>15</c:v>
                </c:pt>
                <c:pt idx="7" formatCode="#,##0">
                  <c:v>15</c:v>
                </c:pt>
                <c:pt idx="8" formatCode="#,##0">
                  <c:v>14</c:v>
                </c:pt>
                <c:pt idx="9" formatCode="#,##0">
                  <c:v>15</c:v>
                </c:pt>
              </c:numCache>
            </c:numRef>
          </c:val>
        </c:ser>
        <c:ser>
          <c:idx val="2"/>
          <c:order val="2"/>
          <c:tx>
            <c:strRef>
              <c:f>'Datos '!$I$6</c:f>
              <c:strCache>
                <c:ptCount val="1"/>
                <c:pt idx="0">
                  <c:v>Apoyo a las Actividades Sustantivas</c:v>
                </c:pt>
              </c:strCache>
            </c:strRef>
          </c:tx>
          <c:cat>
            <c:strRef>
              <c:f>'Datos '!$J$3:$Y$3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'Datos '!$J$6:$Y$6</c:f>
              <c:numCache>
                <c:formatCode>General</c:formatCode>
                <c:ptCount val="10"/>
                <c:pt idx="0" formatCode="#,##0">
                  <c:v>14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 formatCode="#,##0">
                  <c:v>9</c:v>
                </c:pt>
                <c:pt idx="5" formatCode="#,##0">
                  <c:v>9</c:v>
                </c:pt>
                <c:pt idx="6" formatCode="#,##0">
                  <c:v>11</c:v>
                </c:pt>
                <c:pt idx="7" formatCode="#,##0">
                  <c:v>12</c:v>
                </c:pt>
                <c:pt idx="8" formatCode="#,##0">
                  <c:v>12</c:v>
                </c:pt>
                <c:pt idx="9" formatCode="#,##0">
                  <c:v>12</c:v>
                </c:pt>
              </c:numCache>
            </c:numRef>
          </c:val>
        </c:ser>
        <c:ser>
          <c:idx val="3"/>
          <c:order val="3"/>
          <c:tx>
            <c:strRef>
              <c:f>'Datos '!$I$7</c:f>
              <c:strCache>
                <c:ptCount val="1"/>
                <c:pt idx="0">
                  <c:v>Administrativo y de Apoyo</c:v>
                </c:pt>
              </c:strCache>
            </c:strRef>
          </c:tx>
          <c:cat>
            <c:strRef>
              <c:f>'Datos '!$J$3:$Y$3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'Datos '!$J$7:$Y$7</c:f>
              <c:numCache>
                <c:formatCode>General</c:formatCode>
                <c:ptCount val="10"/>
                <c:pt idx="0" formatCode="#,##0">
                  <c:v>20</c:v>
                </c:pt>
                <c:pt idx="1">
                  <c:v>24</c:v>
                </c:pt>
                <c:pt idx="2">
                  <c:v>27</c:v>
                </c:pt>
                <c:pt idx="3">
                  <c:v>27</c:v>
                </c:pt>
                <c:pt idx="4">
                  <c:v>24</c:v>
                </c:pt>
                <c:pt idx="5" formatCode="#,##0">
                  <c:v>26</c:v>
                </c:pt>
                <c:pt idx="6" formatCode="#,##0">
                  <c:v>25</c:v>
                </c:pt>
                <c:pt idx="7" formatCode="#,##0">
                  <c:v>25</c:v>
                </c:pt>
                <c:pt idx="8" formatCode="#,##0">
                  <c:v>25</c:v>
                </c:pt>
                <c:pt idx="9" formatCode="#,##0">
                  <c:v>25</c:v>
                </c:pt>
              </c:numCache>
            </c:numRef>
          </c:val>
        </c:ser>
        <c:ser>
          <c:idx val="4"/>
          <c:order val="4"/>
          <c:tx>
            <c:strRef>
              <c:f>'Datos '!$I$8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'Datos '!$J$3:$Y$3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'Datos '!$J$8:$Y$8</c:f>
              <c:numCache>
                <c:formatCode>#,##0</c:formatCode>
                <c:ptCount val="10"/>
                <c:pt idx="0">
                  <c:v>151</c:v>
                </c:pt>
                <c:pt idx="1">
                  <c:v>148</c:v>
                </c:pt>
                <c:pt idx="2">
                  <c:v>154</c:v>
                </c:pt>
                <c:pt idx="3">
                  <c:v>159</c:v>
                </c:pt>
                <c:pt idx="4">
                  <c:v>173</c:v>
                </c:pt>
                <c:pt idx="5">
                  <c:v>181</c:v>
                </c:pt>
                <c:pt idx="6">
                  <c:v>185</c:v>
                </c:pt>
                <c:pt idx="7">
                  <c:v>188</c:v>
                </c:pt>
                <c:pt idx="8">
                  <c:v>190</c:v>
                </c:pt>
                <c:pt idx="9">
                  <c:v>195</c:v>
                </c:pt>
              </c:numCache>
            </c:numRef>
          </c:val>
        </c:ser>
        <c:gapWidth val="75"/>
        <c:overlap val="-25"/>
        <c:axId val="136710784"/>
        <c:axId val="136720768"/>
      </c:barChart>
      <c:catAx>
        <c:axId val="136710784"/>
        <c:scaling>
          <c:orientation val="minMax"/>
        </c:scaling>
        <c:axPos val="b"/>
        <c:numFmt formatCode="General" sourceLinked="1"/>
        <c:majorTickMark val="none"/>
        <c:tickLblPos val="nextTo"/>
        <c:crossAx val="136720768"/>
        <c:crosses val="autoZero"/>
        <c:auto val="1"/>
        <c:lblAlgn val="ctr"/>
        <c:lblOffset val="100"/>
      </c:catAx>
      <c:valAx>
        <c:axId val="136720768"/>
        <c:scaling>
          <c:orientation val="minMax"/>
        </c:scaling>
        <c:axPos val="l"/>
        <c:majorGridlines/>
        <c:numFmt formatCode="#,##0" sourceLinked="1"/>
        <c:majorTickMark val="none"/>
        <c:tickLblPos val="nextTo"/>
        <c:spPr>
          <a:ln w="9525">
            <a:noFill/>
          </a:ln>
        </c:spPr>
        <c:crossAx val="136710784"/>
        <c:crosses val="autoZero"/>
        <c:crossBetween val="between"/>
      </c:valAx>
    </c:plotArea>
    <c:legend>
      <c:legendPos val="b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36"/>
  <c:chart>
    <c:title>
      <c:tx>
        <c:rich>
          <a:bodyPr/>
          <a:lstStyle/>
          <a:p>
            <a:pPr>
              <a:defRPr/>
            </a:pPr>
            <a:r>
              <a:rPr lang="es-MX"/>
              <a:t>Personal Científico y Tecnológico por categoría y nivel</a:t>
            </a:r>
          </a:p>
        </c:rich>
      </c:tx>
    </c:title>
    <c:plotArea>
      <c:layout/>
      <c:barChart>
        <c:barDir val="col"/>
        <c:grouping val="clustered"/>
        <c:ser>
          <c:idx val="1"/>
          <c:order val="0"/>
          <c:tx>
            <c:strRef>
              <c:f>'Datos '!$I$22</c:f>
              <c:strCache>
                <c:ptCount val="1"/>
                <c:pt idx="0">
                  <c:v>Investigador Titular </c:v>
                </c:pt>
              </c:strCache>
            </c:strRef>
          </c:tx>
          <c:cat>
            <c:strRef>
              <c:f>'Datos '!$J$21:$Y$21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'Datos '!$J$22:$Y$22</c:f>
              <c:numCache>
                <c:formatCode>General</c:formatCode>
                <c:ptCount val="10"/>
                <c:pt idx="0">
                  <c:v>26</c:v>
                </c:pt>
                <c:pt idx="1">
                  <c:v>26</c:v>
                </c:pt>
                <c:pt idx="2">
                  <c:v>30</c:v>
                </c:pt>
                <c:pt idx="3">
                  <c:v>32</c:v>
                </c:pt>
                <c:pt idx="4" formatCode="#,##0">
                  <c:v>37</c:v>
                </c:pt>
                <c:pt idx="5" formatCode="#,##0">
                  <c:v>39</c:v>
                </c:pt>
                <c:pt idx="6" formatCode="#,##0">
                  <c:v>39</c:v>
                </c:pt>
                <c:pt idx="7" formatCode="#,##0">
                  <c:v>40</c:v>
                </c:pt>
                <c:pt idx="8" formatCode="#,##0">
                  <c:v>43</c:v>
                </c:pt>
                <c:pt idx="9" formatCode="#,##0">
                  <c:v>45</c:v>
                </c:pt>
              </c:numCache>
            </c:numRef>
          </c:val>
        </c:ser>
        <c:ser>
          <c:idx val="2"/>
          <c:order val="1"/>
          <c:tx>
            <c:strRef>
              <c:f>'Datos '!$I$23</c:f>
              <c:strCache>
                <c:ptCount val="1"/>
                <c:pt idx="0">
                  <c:v>Investigador Asociado</c:v>
                </c:pt>
              </c:strCache>
            </c:strRef>
          </c:tx>
          <c:cat>
            <c:strRef>
              <c:f>'Datos '!$J$21:$Y$21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'Datos '!$J$23:$Y$23</c:f>
              <c:numCache>
                <c:formatCode>General</c:formatCode>
                <c:ptCount val="10"/>
                <c:pt idx="0">
                  <c:v>9</c:v>
                </c:pt>
                <c:pt idx="1">
                  <c:v>10</c:v>
                </c:pt>
                <c:pt idx="2">
                  <c:v>5</c:v>
                </c:pt>
                <c:pt idx="3">
                  <c:v>3</c:v>
                </c:pt>
                <c:pt idx="4">
                  <c:v>7</c:v>
                </c:pt>
                <c:pt idx="5" formatCode="#,##0">
                  <c:v>9</c:v>
                </c:pt>
                <c:pt idx="6" formatCode="#,##0">
                  <c:v>10</c:v>
                </c:pt>
                <c:pt idx="7" formatCode="#,##0">
                  <c:v>12</c:v>
                </c:pt>
                <c:pt idx="8" formatCode="#,##0">
                  <c:v>9</c:v>
                </c:pt>
                <c:pt idx="9" formatCode="#,##0">
                  <c:v>7</c:v>
                </c:pt>
              </c:numCache>
            </c:numRef>
          </c:val>
        </c:ser>
        <c:ser>
          <c:idx val="3"/>
          <c:order val="2"/>
          <c:tx>
            <c:strRef>
              <c:f>'Datos '!$I$24</c:f>
              <c:strCache>
                <c:ptCount val="1"/>
                <c:pt idx="0">
                  <c:v>Asistente de Investigación</c:v>
                </c:pt>
              </c:strCache>
            </c:strRef>
          </c:tx>
          <c:cat>
            <c:strRef>
              <c:f>'Datos '!$J$21:$Y$21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'Datos '!$J$24:$Y$24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#,##0">
                  <c:v>0</c:v>
                </c:pt>
                <c:pt idx="6" formatCode="#,##0">
                  <c:v>0</c:v>
                </c:pt>
                <c:pt idx="7" formatCode="#,##0">
                  <c:v>1</c:v>
                </c:pt>
                <c:pt idx="8" formatCode="#,##0">
                  <c:v>1</c:v>
                </c:pt>
                <c:pt idx="9" formatCode="#,##0">
                  <c:v>0</c:v>
                </c:pt>
              </c:numCache>
            </c:numRef>
          </c:val>
        </c:ser>
        <c:ser>
          <c:idx val="4"/>
          <c:order val="3"/>
          <c:tx>
            <c:strRef>
              <c:f>'Datos '!$I$25</c:f>
              <c:strCache>
                <c:ptCount val="1"/>
                <c:pt idx="0">
                  <c:v>Técnico Académico Titular</c:v>
                </c:pt>
              </c:strCache>
            </c:strRef>
          </c:tx>
          <c:cat>
            <c:strRef>
              <c:f>'Datos '!$J$21:$Y$21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'Datos '!$J$25:$Y$25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2">
                  <c:v>54</c:v>
                </c:pt>
                <c:pt idx="3">
                  <c:v>62</c:v>
                </c:pt>
                <c:pt idx="4" formatCode="#,##0">
                  <c:v>66</c:v>
                </c:pt>
                <c:pt idx="5" formatCode="#,##0">
                  <c:v>69</c:v>
                </c:pt>
                <c:pt idx="6" formatCode="#,##0">
                  <c:v>71</c:v>
                </c:pt>
                <c:pt idx="7" formatCode="#,##0">
                  <c:v>69</c:v>
                </c:pt>
                <c:pt idx="8" formatCode="#,##0">
                  <c:v>72</c:v>
                </c:pt>
                <c:pt idx="9" formatCode="#,##0">
                  <c:v>76</c:v>
                </c:pt>
              </c:numCache>
            </c:numRef>
          </c:val>
        </c:ser>
        <c:ser>
          <c:idx val="5"/>
          <c:order val="4"/>
          <c:tx>
            <c:strRef>
              <c:f>'Datos '!$I$26</c:f>
              <c:strCache>
                <c:ptCount val="1"/>
                <c:pt idx="0">
                  <c:v>Técnico Académico Asociado</c:v>
                </c:pt>
              </c:strCache>
            </c:strRef>
          </c:tx>
          <c:cat>
            <c:strRef>
              <c:f>'Datos '!$J$21:$Y$21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'Datos '!$J$26:$Y$26</c:f>
              <c:numCache>
                <c:formatCode>General</c:formatCode>
                <c:ptCount val="10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14</c:v>
                </c:pt>
                <c:pt idx="4" formatCode="#,##0">
                  <c:v>14</c:v>
                </c:pt>
                <c:pt idx="5" formatCode="#,##0">
                  <c:v>13</c:v>
                </c:pt>
                <c:pt idx="6" formatCode="#,##0">
                  <c:v>14</c:v>
                </c:pt>
                <c:pt idx="7" formatCode="#,##0">
                  <c:v>15</c:v>
                </c:pt>
                <c:pt idx="8" formatCode="#,##0">
                  <c:v>14</c:v>
                </c:pt>
                <c:pt idx="9" formatCode="#,##0">
                  <c:v>15</c:v>
                </c:pt>
              </c:numCache>
            </c:numRef>
          </c:val>
        </c:ser>
        <c:ser>
          <c:idx val="6"/>
          <c:order val="5"/>
          <c:tx>
            <c:strRef>
              <c:f>'Datos '!$I$27</c:f>
              <c:strCache>
                <c:ptCount val="1"/>
                <c:pt idx="0">
                  <c:v>Total</c:v>
                </c:pt>
              </c:strCache>
            </c:strRef>
          </c:tx>
          <c:cat>
            <c:strRef>
              <c:f>'Datos '!$J$21:$Y$21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'Datos '!$J$27:$Y$27</c:f>
              <c:numCache>
                <c:formatCode>#,##0</c:formatCode>
                <c:ptCount val="10"/>
                <c:pt idx="0">
                  <c:v>97</c:v>
                </c:pt>
                <c:pt idx="1">
                  <c:v>99</c:v>
                </c:pt>
                <c:pt idx="2">
                  <c:v>103</c:v>
                </c:pt>
                <c:pt idx="3">
                  <c:v>111</c:v>
                </c:pt>
                <c:pt idx="4">
                  <c:v>124</c:v>
                </c:pt>
                <c:pt idx="5">
                  <c:v>130</c:v>
                </c:pt>
                <c:pt idx="6">
                  <c:v>134</c:v>
                </c:pt>
                <c:pt idx="7">
                  <c:v>137</c:v>
                </c:pt>
                <c:pt idx="8">
                  <c:v>139</c:v>
                </c:pt>
                <c:pt idx="9">
                  <c:v>143</c:v>
                </c:pt>
              </c:numCache>
            </c:numRef>
          </c:val>
        </c:ser>
        <c:axId val="136760704"/>
        <c:axId val="136770688"/>
      </c:barChart>
      <c:catAx>
        <c:axId val="136760704"/>
        <c:scaling>
          <c:orientation val="minMax"/>
        </c:scaling>
        <c:axPos val="b"/>
        <c:numFmt formatCode="General" sourceLinked="1"/>
        <c:majorTickMark val="none"/>
        <c:tickLblPos val="nextTo"/>
        <c:crossAx val="136770688"/>
        <c:crosses val="autoZero"/>
        <c:auto val="1"/>
        <c:lblAlgn val="ctr"/>
        <c:lblOffset val="100"/>
      </c:catAx>
      <c:valAx>
        <c:axId val="136770688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Personal</a:t>
                </a:r>
              </a:p>
            </c:rich>
          </c:tx>
        </c:title>
        <c:numFmt formatCode="General" sourceLinked="1"/>
        <c:majorTickMark val="none"/>
        <c:tickLblPos val="nextTo"/>
        <c:crossAx val="1367607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/>
            </a:pPr>
            <a:r>
              <a:rPr lang="es-MX"/>
              <a:t>Factor de Impacto</a:t>
            </a:r>
          </a:p>
        </c:rich>
      </c:tx>
    </c:title>
    <c:plotArea>
      <c:layout/>
      <c:barChart>
        <c:barDir val="col"/>
        <c:grouping val="clustered"/>
        <c:ser>
          <c:idx val="1"/>
          <c:order val="0"/>
          <c:tx>
            <c:strRef>
              <c:f>'Datos '!$I$103</c:f>
              <c:strCache>
                <c:ptCount val="1"/>
                <c:pt idx="0">
                  <c:v>Menor que 1</c:v>
                </c:pt>
              </c:strCache>
            </c:strRef>
          </c:tx>
          <c:cat>
            <c:numRef>
              <c:f>'Datos '!$R$102:$Y$102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'Datos '!$R$103:$Y$103</c:f>
              <c:numCache>
                <c:formatCode>General</c:formatCode>
                <c:ptCount val="8"/>
                <c:pt idx="0">
                  <c:v>37</c:v>
                </c:pt>
                <c:pt idx="1">
                  <c:v>29</c:v>
                </c:pt>
                <c:pt idx="2">
                  <c:v>35</c:v>
                </c:pt>
                <c:pt idx="3">
                  <c:v>23</c:v>
                </c:pt>
                <c:pt idx="4">
                  <c:v>27</c:v>
                </c:pt>
                <c:pt idx="5">
                  <c:v>29</c:v>
                </c:pt>
                <c:pt idx="6">
                  <c:v>22</c:v>
                </c:pt>
                <c:pt idx="7">
                  <c:v>23</c:v>
                </c:pt>
              </c:numCache>
            </c:numRef>
          </c:val>
        </c:ser>
        <c:ser>
          <c:idx val="2"/>
          <c:order val="1"/>
          <c:tx>
            <c:strRef>
              <c:f>'Datos '!$I$104</c:f>
              <c:strCache>
                <c:ptCount val="1"/>
                <c:pt idx="0">
                  <c:v>Entre 1 y 2</c:v>
                </c:pt>
              </c:strCache>
            </c:strRef>
          </c:tx>
          <c:cat>
            <c:numRef>
              <c:f>'Datos '!$R$102:$Y$102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'Datos '!$R$104:$Y$104</c:f>
              <c:numCache>
                <c:formatCode>General</c:formatCode>
                <c:ptCount val="8"/>
                <c:pt idx="0">
                  <c:v>20</c:v>
                </c:pt>
                <c:pt idx="1">
                  <c:v>33</c:v>
                </c:pt>
                <c:pt idx="2">
                  <c:v>49</c:v>
                </c:pt>
                <c:pt idx="3">
                  <c:v>60</c:v>
                </c:pt>
                <c:pt idx="4">
                  <c:v>42</c:v>
                </c:pt>
                <c:pt idx="5">
                  <c:v>30</c:v>
                </c:pt>
                <c:pt idx="6">
                  <c:v>41</c:v>
                </c:pt>
                <c:pt idx="7">
                  <c:v>44</c:v>
                </c:pt>
              </c:numCache>
            </c:numRef>
          </c:val>
        </c:ser>
        <c:ser>
          <c:idx val="3"/>
          <c:order val="2"/>
          <c:tx>
            <c:strRef>
              <c:f>'Datos '!$I$105</c:f>
              <c:strCache>
                <c:ptCount val="1"/>
                <c:pt idx="0">
                  <c:v>Entre 2 y 3</c:v>
                </c:pt>
              </c:strCache>
            </c:strRef>
          </c:tx>
          <c:cat>
            <c:numRef>
              <c:f>'Datos '!$R$102:$Y$102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'Datos '!$R$105:$Y$105</c:f>
              <c:numCache>
                <c:formatCode>General</c:formatCode>
                <c:ptCount val="8"/>
                <c:pt idx="0">
                  <c:v>14</c:v>
                </c:pt>
                <c:pt idx="1">
                  <c:v>8</c:v>
                </c:pt>
                <c:pt idx="2">
                  <c:v>9</c:v>
                </c:pt>
                <c:pt idx="3">
                  <c:v>19</c:v>
                </c:pt>
                <c:pt idx="4">
                  <c:v>20</c:v>
                </c:pt>
                <c:pt idx="5">
                  <c:v>36</c:v>
                </c:pt>
                <c:pt idx="6">
                  <c:v>35</c:v>
                </c:pt>
                <c:pt idx="7">
                  <c:v>41</c:v>
                </c:pt>
              </c:numCache>
            </c:numRef>
          </c:val>
        </c:ser>
        <c:ser>
          <c:idx val="4"/>
          <c:order val="3"/>
          <c:tx>
            <c:strRef>
              <c:f>'Datos '!$I$106</c:f>
              <c:strCache>
                <c:ptCount val="1"/>
                <c:pt idx="0">
                  <c:v>Entre 3 y 5</c:v>
                </c:pt>
              </c:strCache>
            </c:strRef>
          </c:tx>
          <c:cat>
            <c:numRef>
              <c:f>'Datos '!$R$102:$Y$102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'Datos '!$R$106:$Y$106</c:f>
              <c:numCache>
                <c:formatCode>General</c:formatCode>
                <c:ptCount val="8"/>
                <c:pt idx="0">
                  <c:v>0</c:v>
                </c:pt>
                <c:pt idx="1">
                  <c:v>2</c:v>
                </c:pt>
                <c:pt idx="2">
                  <c:v>8</c:v>
                </c:pt>
                <c:pt idx="3">
                  <c:v>9</c:v>
                </c:pt>
                <c:pt idx="4">
                  <c:v>14</c:v>
                </c:pt>
                <c:pt idx="5">
                  <c:v>17</c:v>
                </c:pt>
                <c:pt idx="6">
                  <c:v>30</c:v>
                </c:pt>
                <c:pt idx="7">
                  <c:v>26</c:v>
                </c:pt>
              </c:numCache>
            </c:numRef>
          </c:val>
        </c:ser>
        <c:ser>
          <c:idx val="5"/>
          <c:order val="4"/>
          <c:tx>
            <c:strRef>
              <c:f>'Datos '!$I$107</c:f>
              <c:strCache>
                <c:ptCount val="1"/>
                <c:pt idx="0">
                  <c:v>Entre 5 y 8</c:v>
                </c:pt>
              </c:strCache>
            </c:strRef>
          </c:tx>
          <c:cat>
            <c:numRef>
              <c:f>'Datos '!$R$102:$Y$102</c:f>
              <c:numCache>
                <c:formatCode>General</c:formatCode>
                <c:ptCount val="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</c:numCache>
            </c:numRef>
          </c:cat>
          <c:val>
            <c:numRef>
              <c:f>'Datos '!$R$107:$Y$107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6</c:v>
                </c:pt>
                <c:pt idx="7">
                  <c:v>7</c:v>
                </c:pt>
              </c:numCache>
            </c:numRef>
          </c:val>
        </c:ser>
        <c:dLbls>
          <c:showVal val="1"/>
        </c:dLbls>
        <c:overlap val="-25"/>
        <c:axId val="136826880"/>
        <c:axId val="136828416"/>
      </c:barChart>
      <c:catAx>
        <c:axId val="136826880"/>
        <c:scaling>
          <c:orientation val="minMax"/>
        </c:scaling>
        <c:axPos val="b"/>
        <c:numFmt formatCode="General" sourceLinked="1"/>
        <c:majorTickMark val="none"/>
        <c:tickLblPos val="nextTo"/>
        <c:crossAx val="136828416"/>
        <c:crosses val="autoZero"/>
        <c:auto val="1"/>
        <c:lblAlgn val="ctr"/>
        <c:lblOffset val="100"/>
      </c:catAx>
      <c:valAx>
        <c:axId val="136828416"/>
        <c:scaling>
          <c:orientation val="minMax"/>
        </c:scaling>
        <c:delete val="1"/>
        <c:axPos val="l"/>
        <c:numFmt formatCode="General" sourceLinked="1"/>
        <c:tickLblPos val="none"/>
        <c:crossAx val="136826880"/>
        <c:crosses val="autoZero"/>
        <c:crossBetween val="between"/>
      </c:valAx>
    </c:plotArea>
    <c:legend>
      <c:legendPos val="t"/>
    </c:legend>
    <c:plotVisOnly val="1"/>
    <c:dispBlanksAs val="gap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plotArea>
      <c:layout/>
      <c:barChart>
        <c:barDir val="col"/>
        <c:grouping val="clustered"/>
        <c:ser>
          <c:idx val="1"/>
          <c:order val="0"/>
          <c:tx>
            <c:strRef>
              <c:f>'Datos '!$I$4</c:f>
              <c:strCache>
                <c:ptCount val="1"/>
                <c:pt idx="0">
                  <c:v>Científico y Tecnológico</c:v>
                </c:pt>
              </c:strCache>
            </c:strRef>
          </c:tx>
          <c:trendline>
            <c:trendlineType val="linear"/>
          </c:trendline>
          <c:trendline>
            <c:trendlineType val="linear"/>
          </c:trendline>
          <c:cat>
            <c:strRef>
              <c:f>'Datos '!$P$3:$Y$3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'Datos '!$P$4:$Y$4</c:f>
              <c:numCache>
                <c:formatCode>General</c:formatCode>
                <c:ptCount val="10"/>
                <c:pt idx="0" formatCode="#,##0">
                  <c:v>97</c:v>
                </c:pt>
                <c:pt idx="1">
                  <c:v>99</c:v>
                </c:pt>
                <c:pt idx="2">
                  <c:v>103</c:v>
                </c:pt>
                <c:pt idx="3">
                  <c:v>110</c:v>
                </c:pt>
                <c:pt idx="4" formatCode="#,##0">
                  <c:v>124</c:v>
                </c:pt>
                <c:pt idx="5" formatCode="#,##0">
                  <c:v>130</c:v>
                </c:pt>
                <c:pt idx="6" formatCode="#,##0">
                  <c:v>134</c:v>
                </c:pt>
                <c:pt idx="7" formatCode="#,##0">
                  <c:v>136</c:v>
                </c:pt>
                <c:pt idx="8" formatCode="#,##0">
                  <c:v>139</c:v>
                </c:pt>
                <c:pt idx="9" formatCode="#,##0">
                  <c:v>143</c:v>
                </c:pt>
              </c:numCache>
            </c:numRef>
          </c:val>
        </c:ser>
        <c:ser>
          <c:idx val="2"/>
          <c:order val="1"/>
          <c:tx>
            <c:strRef>
              <c:f>'Datos '!$I$5</c:f>
              <c:strCache>
                <c:ptCount val="1"/>
                <c:pt idx="0">
                  <c:v>Mandos Medios</c:v>
                </c:pt>
              </c:strCache>
            </c:strRef>
          </c:tx>
          <c:trendline>
            <c:trendlineType val="linear"/>
          </c:trendline>
          <c:cat>
            <c:strRef>
              <c:f>'Datos '!$P$3:$Y$3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'Datos '!$P$5:$Y$5</c:f>
              <c:numCache>
                <c:formatCode>General</c:formatCode>
                <c:ptCount val="10"/>
                <c:pt idx="0" formatCode="#,##0">
                  <c:v>20</c:v>
                </c:pt>
                <c:pt idx="1">
                  <c:v>17</c:v>
                </c:pt>
                <c:pt idx="2">
                  <c:v>16</c:v>
                </c:pt>
                <c:pt idx="3">
                  <c:v>16</c:v>
                </c:pt>
                <c:pt idx="4" formatCode="#,##0">
                  <c:v>16</c:v>
                </c:pt>
                <c:pt idx="5" formatCode="#,##0">
                  <c:v>16</c:v>
                </c:pt>
                <c:pt idx="6" formatCode="#,##0">
                  <c:v>15</c:v>
                </c:pt>
                <c:pt idx="7" formatCode="#,##0">
                  <c:v>15</c:v>
                </c:pt>
                <c:pt idx="8" formatCode="#,##0">
                  <c:v>14</c:v>
                </c:pt>
                <c:pt idx="9" formatCode="#,##0">
                  <c:v>15</c:v>
                </c:pt>
              </c:numCache>
            </c:numRef>
          </c:val>
        </c:ser>
        <c:ser>
          <c:idx val="3"/>
          <c:order val="2"/>
          <c:tx>
            <c:strRef>
              <c:f>'Datos '!$I$6</c:f>
              <c:strCache>
                <c:ptCount val="1"/>
                <c:pt idx="0">
                  <c:v>Apoyo a las Actividades Sustantivas</c:v>
                </c:pt>
              </c:strCache>
            </c:strRef>
          </c:tx>
          <c:trendline>
            <c:trendlineType val="exp"/>
          </c:trendline>
          <c:cat>
            <c:strRef>
              <c:f>'Datos '!$P$3:$Y$3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'Datos '!$P$6:$Y$6</c:f>
              <c:numCache>
                <c:formatCode>General</c:formatCode>
                <c:ptCount val="10"/>
                <c:pt idx="0" formatCode="#,##0">
                  <c:v>14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 formatCode="#,##0">
                  <c:v>9</c:v>
                </c:pt>
                <c:pt idx="5" formatCode="#,##0">
                  <c:v>9</c:v>
                </c:pt>
                <c:pt idx="6" formatCode="#,##0">
                  <c:v>11</c:v>
                </c:pt>
                <c:pt idx="7" formatCode="#,##0">
                  <c:v>12</c:v>
                </c:pt>
                <c:pt idx="8" formatCode="#,##0">
                  <c:v>12</c:v>
                </c:pt>
                <c:pt idx="9" formatCode="#,##0">
                  <c:v>12</c:v>
                </c:pt>
              </c:numCache>
            </c:numRef>
          </c:val>
        </c:ser>
        <c:ser>
          <c:idx val="4"/>
          <c:order val="3"/>
          <c:tx>
            <c:strRef>
              <c:f>'Datos '!$I$7</c:f>
              <c:strCache>
                <c:ptCount val="1"/>
                <c:pt idx="0">
                  <c:v>Administrativo y de Apoyo</c:v>
                </c:pt>
              </c:strCache>
            </c:strRef>
          </c:tx>
          <c:trendline>
            <c:trendlineType val="linear"/>
          </c:trendline>
          <c:cat>
            <c:strRef>
              <c:f>'Datos '!$P$3:$Y$3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'Datos '!$P$7:$Y$7</c:f>
              <c:numCache>
                <c:formatCode>General</c:formatCode>
                <c:ptCount val="10"/>
                <c:pt idx="0" formatCode="#,##0">
                  <c:v>20</c:v>
                </c:pt>
                <c:pt idx="1">
                  <c:v>24</c:v>
                </c:pt>
                <c:pt idx="2">
                  <c:v>27</c:v>
                </c:pt>
                <c:pt idx="3">
                  <c:v>27</c:v>
                </c:pt>
                <c:pt idx="4">
                  <c:v>24</c:v>
                </c:pt>
                <c:pt idx="5" formatCode="#,##0">
                  <c:v>26</c:v>
                </c:pt>
                <c:pt idx="6" formatCode="#,##0">
                  <c:v>25</c:v>
                </c:pt>
                <c:pt idx="7" formatCode="#,##0">
                  <c:v>25</c:v>
                </c:pt>
                <c:pt idx="8" formatCode="#,##0">
                  <c:v>25</c:v>
                </c:pt>
                <c:pt idx="9" formatCode="#,##0">
                  <c:v>25</c:v>
                </c:pt>
              </c:numCache>
            </c:numRef>
          </c:val>
        </c:ser>
        <c:ser>
          <c:idx val="5"/>
          <c:order val="4"/>
          <c:tx>
            <c:strRef>
              <c:f>'Datos '!$I$8</c:f>
              <c:strCache>
                <c:ptCount val="1"/>
                <c:pt idx="0">
                  <c:v>Total</c:v>
                </c:pt>
              </c:strCache>
            </c:strRef>
          </c:tx>
          <c:trendline>
            <c:trendlineType val="linear"/>
          </c:trendline>
          <c:cat>
            <c:strRef>
              <c:f>'Datos '!$P$3:$Y$3</c:f>
              <c:strCache>
                <c:ptCount val="10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</c:strCache>
            </c:strRef>
          </c:cat>
          <c:val>
            <c:numRef>
              <c:f>'Datos '!$P$8:$Y$8</c:f>
              <c:numCache>
                <c:formatCode>#,##0</c:formatCode>
                <c:ptCount val="10"/>
                <c:pt idx="0">
                  <c:v>151</c:v>
                </c:pt>
                <c:pt idx="1">
                  <c:v>148</c:v>
                </c:pt>
                <c:pt idx="2">
                  <c:v>154</c:v>
                </c:pt>
                <c:pt idx="3">
                  <c:v>159</c:v>
                </c:pt>
                <c:pt idx="4">
                  <c:v>173</c:v>
                </c:pt>
                <c:pt idx="5">
                  <c:v>181</c:v>
                </c:pt>
                <c:pt idx="6">
                  <c:v>185</c:v>
                </c:pt>
                <c:pt idx="7">
                  <c:v>188</c:v>
                </c:pt>
                <c:pt idx="8">
                  <c:v>190</c:v>
                </c:pt>
                <c:pt idx="9">
                  <c:v>195</c:v>
                </c:pt>
              </c:numCache>
            </c:numRef>
          </c:val>
        </c:ser>
        <c:axId val="136897664"/>
        <c:axId val="136899200"/>
      </c:barChart>
      <c:catAx>
        <c:axId val="136897664"/>
        <c:scaling>
          <c:orientation val="minMax"/>
        </c:scaling>
        <c:axPos val="b"/>
        <c:numFmt formatCode="General" sourceLinked="1"/>
        <c:tickLblPos val="nextTo"/>
        <c:crossAx val="136899200"/>
        <c:crosses val="autoZero"/>
        <c:auto val="1"/>
        <c:lblAlgn val="ctr"/>
        <c:lblOffset val="100"/>
      </c:catAx>
      <c:valAx>
        <c:axId val="136899200"/>
        <c:scaling>
          <c:orientation val="minMax"/>
        </c:scaling>
        <c:axPos val="l"/>
        <c:majorGridlines/>
        <c:numFmt formatCode="#,##0" sourceLinked="1"/>
        <c:tickLblPos val="nextTo"/>
        <c:crossAx val="136897664"/>
        <c:crosses val="autoZero"/>
        <c:crossBetween val="between"/>
      </c:valAx>
    </c:plotArea>
    <c:legend>
      <c:legendPos val="r"/>
    </c:legend>
    <c:plotVisOnly val="1"/>
    <c:dispBlanksAs val="gap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view3D>
      <c:depthPercent val="100"/>
      <c:perspective val="30"/>
    </c:view3D>
    <c:plotArea>
      <c:layout>
        <c:manualLayout>
          <c:layoutTarget val="inner"/>
          <c:xMode val="edge"/>
          <c:yMode val="edge"/>
          <c:x val="6.1586954847569833E-2"/>
          <c:y val="9.9184203525773965E-2"/>
          <c:w val="0.72887836240644632"/>
          <c:h val="0.80924337324277862"/>
        </c:manualLayout>
      </c:layout>
      <c:bar3DChart>
        <c:barDir val="col"/>
        <c:grouping val="clustered"/>
        <c:ser>
          <c:idx val="1"/>
          <c:order val="0"/>
          <c:tx>
            <c:strRef>
              <c:f>'Datos '!$I$673</c:f>
              <c:strCache>
                <c:ptCount val="1"/>
                <c:pt idx="0">
                  <c:v>Alumnos Participantes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0"/>
                  <c:y val="7.8709676189059594E-2"/>
                </c:manualLayout>
              </c:layout>
              <c:showVal val="1"/>
            </c:dLbl>
            <c:dLbl>
              <c:idx val="1"/>
              <c:layout>
                <c:manualLayout>
                  <c:x val="-1.4641463980384589E-3"/>
                  <c:y val="0.10090984126802512"/>
                </c:manualLayout>
              </c:layout>
              <c:showVal val="1"/>
            </c:dLbl>
            <c:dLbl>
              <c:idx val="2"/>
              <c:layout>
                <c:manualLayout>
                  <c:x val="2.9282927960768692E-3"/>
                  <c:y val="9.6873447617304181E-2"/>
                </c:manualLayout>
              </c:layout>
              <c:showVal val="1"/>
            </c:dLbl>
            <c:dLbl>
              <c:idx val="3"/>
              <c:layout>
                <c:manualLayout>
                  <c:x val="4.3924391941153823E-3"/>
                  <c:y val="8.6782463490501532E-2"/>
                </c:manualLayout>
              </c:layout>
              <c:showVal val="1"/>
            </c:dLbl>
            <c:dLbl>
              <c:idx val="4"/>
              <c:layout>
                <c:manualLayout>
                  <c:x val="8.0322840822153966E-3"/>
                  <c:y val="0.10090984126802509"/>
                </c:manualLayout>
              </c:layout>
              <c:showVal val="1"/>
            </c:dLbl>
            <c:txPr>
              <a:bodyPr/>
              <a:lstStyle/>
              <a:p>
                <a:pPr>
                  <a:defRPr sz="24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'!$K$672:$O$672</c:f>
            </c:numRef>
          </c:cat>
          <c:val>
            <c:numRef>
              <c:f>'Datos '!$K$673:$O$673</c:f>
            </c:numRef>
          </c:val>
        </c:ser>
        <c:gapWidth val="58"/>
        <c:shape val="box"/>
        <c:axId val="130721280"/>
        <c:axId val="130722816"/>
        <c:axId val="0"/>
      </c:bar3DChart>
      <c:catAx>
        <c:axId val="130721280"/>
        <c:scaling>
          <c:orientation val="minMax"/>
        </c:scaling>
        <c:axPos val="b"/>
        <c:numFmt formatCode="General" sourceLinked="1"/>
        <c:tickLblPos val="nextTo"/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30722816"/>
        <c:crosses val="autoZero"/>
        <c:auto val="1"/>
        <c:lblAlgn val="ctr"/>
        <c:lblOffset val="100"/>
      </c:catAx>
      <c:valAx>
        <c:axId val="130722816"/>
        <c:scaling>
          <c:orientation val="minMax"/>
        </c:scaling>
        <c:axPos val="l"/>
        <c:majorGridlines>
          <c:spPr>
            <a:ln>
              <a:solidFill>
                <a:schemeClr val="accent5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tickLblPos val="nextTo"/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MX"/>
          </a:p>
        </c:txPr>
        <c:crossAx val="130721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460869314413773"/>
          <c:y val="0.5164064264694187"/>
          <c:w val="0.20660644342534337"/>
          <c:h val="0.11931885787003915"/>
        </c:manualLayout>
      </c:layout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plotVisOnly val="1"/>
    <c:dispBlanksAs val="gap"/>
  </c:chart>
  <c:spPr>
    <a:noFill/>
    <a:scene3d>
      <a:camera prst="orthographicFront"/>
      <a:lightRig rig="threePt" dir="t"/>
    </a:scene3d>
    <a:sp3d prstMaterial="matte">
      <a:bevelT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MX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26"/>
  <c:chart>
    <c:autoTitleDeleted val="1"/>
    <c:plotArea>
      <c:layout/>
      <c:barChart>
        <c:barDir val="col"/>
        <c:grouping val="clustered"/>
        <c:ser>
          <c:idx val="1"/>
          <c:order val="0"/>
          <c:tx>
            <c:strRef>
              <c:f>'Datos '!$T$366</c:f>
              <c:strCache>
                <c:ptCount val="1"/>
                <c:pt idx="0">
                  <c:v>2008</c:v>
                </c:pt>
              </c:strCache>
            </c:strRef>
          </c:tx>
          <c:spPr>
            <a:effectLst>
              <a:glow rad="101600">
                <a:schemeClr val="accent2">
                  <a:satMod val="175000"/>
                  <a:alpha val="40000"/>
                </a:schemeClr>
              </a:glow>
            </a:effectLst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 sz="2000"/>
                      <a:t>$ 17,923</a:t>
                    </a:r>
                    <a:endParaRPr lang="en-US"/>
                  </a:p>
                </c:rich>
              </c:tx>
              <c:showVal val="1"/>
            </c:dLbl>
            <c:txPr>
              <a:bodyPr/>
              <a:lstStyle/>
              <a:p>
                <a:pPr>
                  <a:defRPr sz="2000" b="1"/>
                </a:pPr>
                <a:endParaRPr lang="es-MX"/>
              </a:p>
            </c:txPr>
            <c:showVal val="1"/>
          </c:dLbls>
          <c:cat>
            <c:numRef>
              <c:f>'Datos '!$I$365</c:f>
              <c:numCache>
                <c:formatCode>General</c:formatCode>
                <c:ptCount val="1"/>
              </c:numCache>
            </c:numRef>
          </c:cat>
          <c:val>
            <c:numRef>
              <c:f>'Datos '!$T$367</c:f>
              <c:numCache>
                <c:formatCode>_-"$"* #,##0_-;\-"$"* #,##0_-;_-"$"* "-"??_-;_-@_-</c:formatCode>
                <c:ptCount val="1"/>
                <c:pt idx="0">
                  <c:v>17923.034820000001</c:v>
                </c:pt>
              </c:numCache>
            </c:numRef>
          </c:val>
        </c:ser>
        <c:ser>
          <c:idx val="2"/>
          <c:order val="1"/>
          <c:tx>
            <c:strRef>
              <c:f>'Datos '!$U$366</c:f>
              <c:strCache>
                <c:ptCount val="1"/>
                <c:pt idx="0">
                  <c:v>2009</c:v>
                </c:pt>
              </c:strCache>
            </c:strRef>
          </c:tx>
          <c:spPr>
            <a:effectLst>
              <a:glow rad="139700">
                <a:schemeClr val="accent3">
                  <a:satMod val="175000"/>
                  <a:alpha val="40000"/>
                </a:schemeClr>
              </a:glow>
            </a:effectLst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 sz="2000"/>
                      <a:t>$ 28,143</a:t>
                    </a:r>
                    <a:endParaRPr lang="en-US"/>
                  </a:p>
                </c:rich>
              </c:tx>
              <c:showVal val="1"/>
            </c:dLbl>
            <c:txPr>
              <a:bodyPr/>
              <a:lstStyle/>
              <a:p>
                <a:pPr>
                  <a:defRPr sz="2000" b="1"/>
                </a:pPr>
                <a:endParaRPr lang="es-MX"/>
              </a:p>
            </c:txPr>
            <c:showVal val="1"/>
          </c:dLbls>
          <c:cat>
            <c:numRef>
              <c:f>'Datos '!$I$365</c:f>
              <c:numCache>
                <c:formatCode>General</c:formatCode>
                <c:ptCount val="1"/>
              </c:numCache>
            </c:numRef>
          </c:cat>
          <c:val>
            <c:numRef>
              <c:f>'Datos '!$U$367</c:f>
              <c:numCache>
                <c:formatCode>_-"$"* #,##0_-;\-"$"* #,##0_-;_-"$"* "-"??_-;_-@_-</c:formatCode>
                <c:ptCount val="1"/>
                <c:pt idx="0">
                  <c:v>28143.029790000001</c:v>
                </c:pt>
              </c:numCache>
            </c:numRef>
          </c:val>
        </c:ser>
        <c:ser>
          <c:idx val="3"/>
          <c:order val="2"/>
          <c:tx>
            <c:strRef>
              <c:f>'Datos '!$V$366</c:f>
              <c:strCache>
                <c:ptCount val="1"/>
                <c:pt idx="0">
                  <c:v>2010</c:v>
                </c:pt>
              </c:strCache>
            </c:strRef>
          </c:tx>
          <c:spPr>
            <a:effectLst>
              <a:glow rad="139700">
                <a:schemeClr val="accent4">
                  <a:satMod val="175000"/>
                  <a:alpha val="40000"/>
                </a:schemeClr>
              </a:glow>
            </a:effectLst>
          </c:spPr>
          <c:dLbls>
            <c:txPr>
              <a:bodyPr/>
              <a:lstStyle/>
              <a:p>
                <a:pPr>
                  <a:defRPr sz="2000" b="1"/>
                </a:pPr>
                <a:endParaRPr lang="es-MX"/>
              </a:p>
            </c:txPr>
            <c:showVal val="1"/>
          </c:dLbls>
          <c:cat>
            <c:numRef>
              <c:f>'Datos '!$I$365</c:f>
              <c:numCache>
                <c:formatCode>General</c:formatCode>
                <c:ptCount val="1"/>
              </c:numCache>
            </c:numRef>
          </c:cat>
          <c:val>
            <c:numRef>
              <c:f>'Datos '!$V$367</c:f>
              <c:numCache>
                <c:formatCode>_-"$"* #,##0_-;\-"$"* #,##0_-;_-"$"* "-"??_-;_-@_-</c:formatCode>
                <c:ptCount val="1"/>
                <c:pt idx="0">
                  <c:v>54297.314899999998</c:v>
                </c:pt>
              </c:numCache>
            </c:numRef>
          </c:val>
        </c:ser>
        <c:ser>
          <c:idx val="4"/>
          <c:order val="3"/>
          <c:tx>
            <c:strRef>
              <c:f>'Datos '!$W$366</c:f>
              <c:strCache>
                <c:ptCount val="1"/>
                <c:pt idx="0">
                  <c:v>2011</c:v>
                </c:pt>
              </c:strCache>
            </c:strRef>
          </c:tx>
          <c:spPr>
            <a:effectLst>
              <a:glow rad="101600">
                <a:schemeClr val="accent2">
                  <a:satMod val="175000"/>
                  <a:alpha val="40000"/>
                </a:schemeClr>
              </a:glow>
            </a:effectLst>
          </c:spPr>
          <c:dLbls>
            <c:txPr>
              <a:bodyPr/>
              <a:lstStyle/>
              <a:p>
                <a:pPr>
                  <a:defRPr sz="2000" b="1"/>
                </a:pPr>
                <a:endParaRPr lang="es-MX"/>
              </a:p>
            </c:txPr>
            <c:showVal val="1"/>
          </c:dLbls>
          <c:cat>
            <c:numRef>
              <c:f>'Datos '!$I$365</c:f>
              <c:numCache>
                <c:formatCode>General</c:formatCode>
                <c:ptCount val="1"/>
              </c:numCache>
            </c:numRef>
          </c:cat>
          <c:val>
            <c:numRef>
              <c:f>'Datos '!$W$367</c:f>
              <c:numCache>
                <c:formatCode>_-"$"* #,##0_-;\-"$"* #,##0_-;_-"$"* "-"??_-;_-@_-</c:formatCode>
                <c:ptCount val="1"/>
                <c:pt idx="0">
                  <c:v>51428.192710000003</c:v>
                </c:pt>
              </c:numCache>
            </c:numRef>
          </c:val>
        </c:ser>
        <c:ser>
          <c:idx val="0"/>
          <c:order val="4"/>
          <c:tx>
            <c:strRef>
              <c:f>'Datos '!$X$366</c:f>
              <c:strCache>
                <c:ptCount val="1"/>
                <c:pt idx="0">
                  <c:v>2012</c:v>
                </c:pt>
              </c:strCache>
            </c:strRef>
          </c:tx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spPr>
              <a:effectLst>
                <a:glow rad="101600">
                  <a:schemeClr val="accent1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txPr>
              <a:bodyPr/>
              <a:lstStyle/>
              <a:p>
                <a:pPr>
                  <a:defRPr sz="2000" b="1"/>
                </a:pPr>
                <a:endParaRPr lang="es-MX"/>
              </a:p>
            </c:txPr>
            <c:showVal val="1"/>
          </c:dLbls>
          <c:val>
            <c:numRef>
              <c:f>'Datos '!$X$367</c:f>
              <c:numCache>
                <c:formatCode>_-"$"* #,##0_-;\-"$"* #,##0_-;_-"$"* "-"??_-;_-@_-</c:formatCode>
                <c:ptCount val="1"/>
                <c:pt idx="0">
                  <c:v>61460</c:v>
                </c:pt>
              </c:numCache>
            </c:numRef>
          </c:val>
        </c:ser>
        <c:gapWidth val="75"/>
        <c:overlap val="-25"/>
        <c:axId val="130814720"/>
        <c:axId val="130816256"/>
      </c:barChart>
      <c:catAx>
        <c:axId val="130814720"/>
        <c:scaling>
          <c:orientation val="minMax"/>
        </c:scaling>
        <c:axPos val="b"/>
        <c:numFmt formatCode="General" sourceLinked="1"/>
        <c:maj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130816256"/>
        <c:crosses val="autoZero"/>
        <c:auto val="1"/>
        <c:lblAlgn val="ctr"/>
        <c:lblOffset val="100"/>
      </c:catAx>
      <c:valAx>
        <c:axId val="130816256"/>
        <c:scaling>
          <c:orientation val="minMax"/>
        </c:scaling>
        <c:delete val="1"/>
        <c:axPos val="l"/>
        <c:majorGridlines/>
        <c:numFmt formatCode="_-&quot;$&quot;* #,##0_-;\-&quot;$&quot;* #,##0_-;_-&quot;$&quot;* &quot;-&quot;??_-;_-@_-" sourceLinked="1"/>
        <c:majorTickMark val="none"/>
        <c:tickLblPos val="none"/>
        <c:crossAx val="130814720"/>
        <c:crosses val="autoZero"/>
        <c:crossBetween val="between"/>
      </c:valAx>
      <c:spPr>
        <a:gradFill>
          <a:gsLst>
            <a:gs pos="0">
              <a:schemeClr val="accent5">
                <a:lumMod val="50000"/>
              </a:schemeClr>
            </a:gs>
            <a:gs pos="22000">
              <a:srgbClr val="AFBBD6"/>
            </a:gs>
            <a:gs pos="12000">
              <a:schemeClr val="accent5">
                <a:lumMod val="75000"/>
              </a:schemeClr>
            </a:gs>
            <a:gs pos="48000">
              <a:schemeClr val="accent5">
                <a:lumMod val="20000"/>
                <a:lumOff val="80000"/>
              </a:schemeClr>
            </a:gs>
            <a:gs pos="100000">
              <a:schemeClr val="accent5">
                <a:lumMod val="20000"/>
                <a:lumOff val="80000"/>
              </a:schemeClr>
            </a:gs>
          </a:gsLst>
          <a:lin ang="5400000" scaled="0"/>
        </a:gradFill>
        <a:ln>
          <a:noFill/>
        </a:ln>
      </c:spPr>
    </c:plotArea>
    <c:legend>
      <c:legendPos val="b"/>
      <c:txPr>
        <a:bodyPr/>
        <a:lstStyle/>
        <a:p>
          <a:pPr>
            <a:defRPr sz="2400"/>
          </a:pPr>
          <a:endParaRPr lang="es-MX"/>
        </a:p>
      </c:txPr>
    </c:legend>
    <c:plotVisOnly val="1"/>
    <c:dispBlanksAs val="gap"/>
  </c:chart>
  <c:spPr>
    <a:gradFill>
      <a:gsLst>
        <a:gs pos="4000">
          <a:schemeClr val="accent5">
            <a:lumMod val="50000"/>
          </a:schemeClr>
        </a:gs>
        <a:gs pos="22000">
          <a:srgbClr val="AFBBD6"/>
        </a:gs>
        <a:gs pos="15000">
          <a:schemeClr val="accent5">
            <a:lumMod val="75000"/>
          </a:schemeClr>
        </a:gs>
        <a:gs pos="48000">
          <a:schemeClr val="accent5">
            <a:lumMod val="20000"/>
            <a:lumOff val="80000"/>
          </a:schemeClr>
        </a:gs>
        <a:gs pos="100000">
          <a:schemeClr val="accent5">
            <a:lumMod val="20000"/>
            <a:lumOff val="80000"/>
          </a:schemeClr>
        </a:gs>
      </a:gsLst>
      <a:lin ang="5400000" scaled="0"/>
    </a:gradFill>
    <a:scene3d>
      <a:camera prst="orthographicFront"/>
      <a:lightRig rig="threePt" dir="t"/>
    </a:scene3d>
    <a:sp3d>
      <a:bevelT prst="relaxedInset"/>
    </a:sp3d>
  </c:spPr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Pr>
        <a:bodyPr/>
        <a:lstStyle/>
        <a:p>
          <a:pPr>
            <a:defRPr sz="2160" b="1" i="0" u="none" strike="noStrike" baseline="0">
              <a:solidFill>
                <a:srgbClr val="333399"/>
              </a:solidFill>
              <a:latin typeface="Arial"/>
              <a:ea typeface="Arial"/>
              <a:cs typeface="Arial"/>
            </a:defRPr>
          </a:pPr>
          <a:endParaRPr lang="es-MX"/>
        </a:p>
      </c:txPr>
    </c:title>
    <c:plotArea>
      <c:layout>
        <c:manualLayout>
          <c:layoutTarget val="inner"/>
          <c:xMode val="edge"/>
          <c:yMode val="edge"/>
          <c:x val="9.5449500554938949E-2"/>
          <c:y val="0.1941272430668842"/>
          <c:w val="0.86015538290788063"/>
          <c:h val="0.47634584013050568"/>
        </c:manualLayout>
      </c:layout>
      <c:barChart>
        <c:barDir val="col"/>
        <c:grouping val="clustered"/>
        <c:ser>
          <c:idx val="1"/>
          <c:order val="0"/>
          <c:tx>
            <c:strRef>
              <c:f>'Datos '!$I$339</c:f>
              <c:strCache>
                <c:ptCount val="1"/>
                <c:pt idx="0">
                  <c:v>Solicitudes de Registro de Patente</c:v>
                </c:pt>
              </c:strCache>
            </c:strRef>
          </c:tx>
          <c:spPr>
            <a:solidFill>
              <a:srgbClr val="3366FF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'!$T$338:$X$338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'!$T$339:$X$339</c:f>
              <c:numCache>
                <c:formatCode>General</c:formatCode>
                <c:ptCount val="5"/>
                <c:pt idx="0">
                  <c:v>11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</c:ser>
        <c:dLbls>
          <c:showVal val="1"/>
        </c:dLbls>
        <c:axId val="130840832"/>
        <c:axId val="130961408"/>
      </c:barChart>
      <c:catAx>
        <c:axId val="130840832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0961408"/>
        <c:crosses val="autoZero"/>
        <c:lblAlgn val="ctr"/>
        <c:lblOffset val="100"/>
        <c:tickLblSkip val="1"/>
        <c:tickMarkSkip val="1"/>
      </c:catAx>
      <c:valAx>
        <c:axId val="130961408"/>
        <c:scaling>
          <c:orientation val="minMax"/>
          <c:max val="11"/>
          <c:min val="0"/>
        </c:scaling>
        <c:axPos val="l"/>
        <c:title>
          <c:tx>
            <c:rich>
              <a:bodyPr/>
              <a:lstStyle/>
              <a:p>
                <a:pPr>
                  <a:defRPr sz="20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Número de Solicitudes </a:t>
                </a:r>
              </a:p>
            </c:rich>
          </c:tx>
          <c:layout>
            <c:manualLayout>
              <c:xMode val="edge"/>
              <c:yMode val="edge"/>
              <c:x val="7.3991860895302004E-3"/>
              <c:y val="0.1392060902664506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130840832"/>
        <c:crosses val="autoZero"/>
        <c:crossBetween val="between"/>
        <c:majorUnit val="2"/>
        <c:minorUnit val="2"/>
      </c:valAx>
      <c:spPr>
        <a:noFill/>
        <a:ln w="25400">
          <a:noFill/>
        </a:ln>
      </c:spPr>
    </c:plotArea>
    <c:plotVisOnly val="1"/>
    <c:dispBlanksAs val="gap"/>
  </c:chart>
  <c:spPr>
    <a:noFill/>
    <a:ln w="9525">
      <a:noFill/>
    </a:ln>
  </c:spPr>
  <c:txPr>
    <a:bodyPr/>
    <a:lstStyle/>
    <a:p>
      <a:pPr>
        <a:defRPr sz="18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es-MX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autoTitleDeleted val="1"/>
    <c:plotArea>
      <c:layout>
        <c:manualLayout>
          <c:layoutTarget val="inner"/>
          <c:xMode val="edge"/>
          <c:yMode val="edge"/>
          <c:x val="9.2726645984144235E-2"/>
          <c:y val="0.23502824858757179"/>
          <c:w val="0.8345398138572907"/>
          <c:h val="0.67175141242940506"/>
        </c:manualLayout>
      </c:layout>
      <c:barChart>
        <c:barDir val="col"/>
        <c:grouping val="clustered"/>
        <c:ser>
          <c:idx val="1"/>
          <c:order val="0"/>
          <c:tx>
            <c:strRef>
              <c:f>'Datos '!$I$4</c:f>
              <c:strCache>
                <c:ptCount val="1"/>
                <c:pt idx="0">
                  <c:v>Científico y Tecnológico</c:v>
                </c:pt>
              </c:strCache>
            </c:strRef>
          </c:tx>
          <c:spPr>
            <a:solidFill>
              <a:srgbClr val="0000CC"/>
            </a:solidFill>
            <a:ln w="25400">
              <a:noFill/>
            </a:ln>
            <a:effectLst>
              <a:outerShdw blurRad="50800" dist="38100" dir="18900000" algn="bl" rotWithShape="0">
                <a:schemeClr val="tx2"/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-1.5851172688213205E-4"/>
                  <c:y val="-4.5678188531517875E-3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3.0196483971044628E-3"/>
                  <c:y val="8.2210062725214246E-4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-3.5513141002150792E-4"/>
                  <c:y val="1.779616530984523E-3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7.4457083764224133E-4"/>
                  <c:y val="-4.779572045019896E-3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-1.944157187176858E-3"/>
                  <c:y val="-8.5592775479335897E-3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000080"/>
                    </a:solidFill>
                    <a:latin typeface="+mn-lt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'!$T$3:$X$3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'!$T$4:$X$4</c:f>
              <c:numCache>
                <c:formatCode>#,##0</c:formatCode>
                <c:ptCount val="5"/>
                <c:pt idx="0">
                  <c:v>124</c:v>
                </c:pt>
                <c:pt idx="1">
                  <c:v>130</c:v>
                </c:pt>
                <c:pt idx="2">
                  <c:v>134</c:v>
                </c:pt>
                <c:pt idx="3">
                  <c:v>136</c:v>
                </c:pt>
                <c:pt idx="4">
                  <c:v>139</c:v>
                </c:pt>
              </c:numCache>
            </c:numRef>
          </c:val>
        </c:ser>
        <c:ser>
          <c:idx val="0"/>
          <c:order val="2"/>
          <c:tx>
            <c:strRef>
              <c:f>'Datos '!$I$6</c:f>
              <c:strCache>
                <c:ptCount val="1"/>
                <c:pt idx="0">
                  <c:v>Apoyo a las Actividades Sustantivas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  <a:effectLst>
              <a:outerShdw blurRad="50800" dist="38100" dir="16200000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dLbls>
            <c:dLbl>
              <c:idx val="0"/>
              <c:layout>
                <c:manualLayout>
                  <c:x val="1.2822078729300568E-3"/>
                  <c:y val="4.6824858757061889E-2"/>
                </c:manualLayout>
              </c:layout>
              <c:dLblPos val="outEnd"/>
              <c:showVal val="1"/>
            </c:dLbl>
            <c:dLbl>
              <c:idx val="1"/>
              <c:layout>
                <c:manualLayout>
                  <c:x val="2.7300930713547141E-3"/>
                  <c:y val="4.3999999999999997E-2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2.4543260944501896E-3"/>
                  <c:y val="4.9779616530984484E-2"/>
                </c:manualLayout>
              </c:layout>
              <c:dLblPos val="outEnd"/>
              <c:showVal val="1"/>
            </c:dLbl>
            <c:dLbl>
              <c:idx val="3"/>
              <c:layout>
                <c:manualLayout>
                  <c:x val="3.5572854323923167E-3"/>
                  <c:y val="5.5516882423595384E-2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1.5580834195105227E-3"/>
                  <c:y val="5.5516882423595384E-2"/>
                </c:manualLayout>
              </c:layout>
              <c:dLblPos val="outEnd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80"/>
                    </a:solidFill>
                    <a:latin typeface="+mn-lt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'!$T$3:$X$3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'!$T$6:$X$6</c:f>
              <c:numCache>
                <c:formatCode>#,##0</c:formatCode>
                <c:ptCount val="5"/>
                <c:pt idx="0">
                  <c:v>9</c:v>
                </c:pt>
                <c:pt idx="1">
                  <c:v>9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</c:numCache>
            </c:numRef>
          </c:val>
        </c:ser>
        <c:dLbls>
          <c:showVal val="1"/>
        </c:dLbls>
        <c:axId val="131489792"/>
        <c:axId val="131491328"/>
      </c:barChart>
      <c:lineChart>
        <c:grouping val="standard"/>
        <c:ser>
          <c:idx val="4"/>
          <c:order val="1"/>
          <c:tx>
            <c:strRef>
              <c:f>'Datos '!$I$5</c:f>
              <c:strCache>
                <c:ptCount val="1"/>
                <c:pt idx="0">
                  <c:v>Mandos Medios</c:v>
                </c:pt>
              </c:strCache>
            </c:strRef>
          </c:tx>
          <c:dLbls>
            <c:dLbl>
              <c:idx val="0"/>
              <c:layout>
                <c:manualLayout>
                  <c:x val="-2.7577783387211169E-3"/>
                  <c:y val="2.2598870056497202E-3"/>
                </c:manualLayout>
              </c:layout>
              <c:showVal val="1"/>
            </c:dLbl>
            <c:dLbl>
              <c:idx val="1"/>
              <c:layout>
                <c:manualLayout>
                  <c:x val="-4.1365046535677364E-3"/>
                  <c:y val="2.2598870056497202E-3"/>
                </c:manualLayout>
              </c:layout>
              <c:showVal val="1"/>
            </c:dLbl>
            <c:dLbl>
              <c:idx val="2"/>
              <c:layout>
                <c:manualLayout>
                  <c:x val="-2.7576697690451612E-3"/>
                  <c:y val="-2.2598870056497202E-3"/>
                </c:manualLayout>
              </c:layout>
              <c:showVal val="1"/>
            </c:dLbl>
            <c:dLbl>
              <c:idx val="3"/>
              <c:layout>
                <c:manualLayout>
                  <c:x val="-1.3788348845225821E-3"/>
                  <c:y val="-6.7796610169491992E-3"/>
                </c:manualLayout>
              </c:layout>
              <c:showVal val="1"/>
            </c:dLbl>
            <c:dLbl>
              <c:idx val="4"/>
              <c:layout>
                <c:manualLayout>
                  <c:x val="-1.3788348845225821E-3"/>
                  <c:y val="-9.0395480225988704E-3"/>
                </c:manualLayout>
              </c:layout>
              <c:showVal val="1"/>
            </c:dLbl>
            <c:txPr>
              <a:bodyPr/>
              <a:lstStyle/>
              <a:p>
                <a:pPr>
                  <a:defRPr sz="1600"/>
                </a:pPr>
                <a:endParaRPr lang="es-MX"/>
              </a:p>
            </c:txPr>
            <c:showVal val="1"/>
          </c:dLbls>
          <c:cat>
            <c:numRef>
              <c:f>'Datos '!$T$3:$X$3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'!$T$5:$X$5</c:f>
              <c:numCache>
                <c:formatCode>#,##0</c:formatCode>
                <c:ptCount val="5"/>
                <c:pt idx="0">
                  <c:v>16</c:v>
                </c:pt>
                <c:pt idx="1">
                  <c:v>16</c:v>
                </c:pt>
                <c:pt idx="2">
                  <c:v>15</c:v>
                </c:pt>
                <c:pt idx="3">
                  <c:v>15</c:v>
                </c:pt>
                <c:pt idx="4">
                  <c:v>14</c:v>
                </c:pt>
              </c:numCache>
            </c:numRef>
          </c:val>
        </c:ser>
        <c:ser>
          <c:idx val="2"/>
          <c:order val="3"/>
          <c:tx>
            <c:strRef>
              <c:f>'Datos '!$I$7</c:f>
              <c:strCache>
                <c:ptCount val="1"/>
                <c:pt idx="0">
                  <c:v>Administrativo y de Apoyo</c:v>
                </c:pt>
              </c:strCache>
            </c:strRef>
          </c:tx>
          <c:spPr>
            <a:ln w="44450">
              <a:solidFill>
                <a:srgbClr val="C00000"/>
              </a:solidFill>
            </a:ln>
          </c:spPr>
          <c:marker>
            <c:symbol val="circle"/>
            <c:size val="9"/>
            <c:spPr>
              <a:solidFill>
                <a:srgbClr val="C00000"/>
              </a:solidFill>
            </c:spPr>
          </c:marker>
          <c:dLbls>
            <c:dLbl>
              <c:idx val="0"/>
              <c:layout>
                <c:manualLayout>
                  <c:x val="-6.1703403930766171E-3"/>
                  <c:y val="-3.1533965034031781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7.8249422545035637E-3"/>
                  <c:y val="-3.2228835802304352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2581922606106501E-2"/>
                  <c:y val="-3.2228835802304415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4.9293889970062404E-3"/>
                  <c:y val="-3.1186440677966252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5.5498646950415103E-3"/>
                  <c:y val="-3.357622670047599E-2"/>
                </c:manualLayout>
              </c:layout>
              <c:dLblPos val="r"/>
              <c:showVal val="1"/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0" b="1" i="0" u="none" strike="noStrike" baseline="0">
                      <a:solidFill>
                        <a:srgbClr val="000000"/>
                      </a:solidFill>
                      <a:latin typeface="+mn-lt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r"/>
              <c:showVal val="1"/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0" b="1" i="0" u="none" strike="noStrike" baseline="0">
                      <a:solidFill>
                        <a:srgbClr val="000000"/>
                      </a:solidFill>
                      <a:latin typeface="+mn-lt"/>
                      <a:ea typeface="Arial"/>
                      <a:cs typeface="Arial"/>
                    </a:defRPr>
                  </a:pPr>
                  <a:endParaRPr lang="es-MX"/>
                </a:p>
              </c:txPr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000080"/>
                    </a:solidFill>
                    <a:latin typeface="+mn-lt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'!$T$3:$X$3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'!$T$7:$X$7</c:f>
              <c:numCache>
                <c:formatCode>#,##0</c:formatCode>
                <c:ptCount val="5"/>
                <c:pt idx="0" formatCode="General">
                  <c:v>24</c:v>
                </c:pt>
                <c:pt idx="1">
                  <c:v>26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</c:numCache>
            </c:numRef>
          </c:val>
        </c:ser>
        <c:ser>
          <c:idx val="3"/>
          <c:order val="4"/>
          <c:tx>
            <c:strRef>
              <c:f>'Datos '!$I$8</c:f>
              <c:strCache>
                <c:ptCount val="1"/>
                <c:pt idx="0">
                  <c:v>Total</c:v>
                </c:pt>
              </c:strCache>
            </c:strRef>
          </c:tx>
          <c:spPr>
            <a:ln w="44450">
              <a:solidFill>
                <a:srgbClr val="002060"/>
              </a:solidFill>
            </a:ln>
          </c:spPr>
          <c:marker>
            <c:symbol val="diamond"/>
            <c:size val="9"/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1.5822184584734569E-2"/>
                  <c:y val="-4.3288046621290856E-2"/>
                </c:manualLayout>
              </c:layout>
              <c:dLblPos val="r"/>
              <c:showVal val="1"/>
            </c:dLbl>
            <c:dLbl>
              <c:idx val="1"/>
              <c:layout>
                <c:manualLayout>
                  <c:x val="-1.8510912609553579E-2"/>
                  <c:y val="-5.3847413141153933E-2"/>
                </c:manualLayout>
              </c:layout>
              <c:dLblPos val="r"/>
              <c:showVal val="1"/>
            </c:dLbl>
            <c:dLbl>
              <c:idx val="2"/>
              <c:layout>
                <c:manualLayout>
                  <c:x val="-1.9131388307589009E-2"/>
                  <c:y val="-5.3889763779527547E-2"/>
                </c:manualLayout>
              </c:layout>
              <c:dLblPos val="r"/>
              <c:showVal val="1"/>
            </c:dLbl>
            <c:dLbl>
              <c:idx val="3"/>
              <c:layout>
                <c:manualLayout>
                  <c:x val="-2.9058999476151356E-2"/>
                  <c:y val="-5.0279638773966795E-2"/>
                </c:manualLayout>
              </c:layout>
              <c:dLblPos val="r"/>
              <c:showVal val="1"/>
            </c:dLbl>
            <c:dLbl>
              <c:idx val="4"/>
              <c:layout>
                <c:manualLayout>
                  <c:x val="-2.244059203044298E-2"/>
                  <c:y val="-4.9669469282441432E-2"/>
                </c:manualLayout>
              </c:layout>
              <c:dLblPos val="r"/>
              <c:showVal val="1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2000" b="1" i="0" u="none" strike="noStrike" baseline="0">
                    <a:solidFill>
                      <a:srgbClr val="000080"/>
                    </a:solidFill>
                    <a:latin typeface="+mn-lt"/>
                    <a:ea typeface="Arial"/>
                    <a:cs typeface="Arial"/>
                  </a:defRPr>
                </a:pPr>
                <a:endParaRPr lang="es-MX"/>
              </a:p>
            </c:txPr>
            <c:showVal val="1"/>
          </c:dLbls>
          <c:cat>
            <c:numRef>
              <c:f>'Datos '!$T$3:$X$3</c:f>
              <c:numCache>
                <c:formatCode>General</c:formatCode>
                <c:ptCount val="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</c:numCache>
            </c:numRef>
          </c:cat>
          <c:val>
            <c:numRef>
              <c:f>'Datos '!$T$8:$X$8</c:f>
              <c:numCache>
                <c:formatCode>#,##0</c:formatCode>
                <c:ptCount val="5"/>
                <c:pt idx="0">
                  <c:v>173</c:v>
                </c:pt>
                <c:pt idx="1">
                  <c:v>181</c:v>
                </c:pt>
                <c:pt idx="2">
                  <c:v>185</c:v>
                </c:pt>
                <c:pt idx="3">
                  <c:v>188</c:v>
                </c:pt>
                <c:pt idx="4">
                  <c:v>190</c:v>
                </c:pt>
              </c:numCache>
            </c:numRef>
          </c:val>
        </c:ser>
        <c:dLbls>
          <c:showVal val="1"/>
        </c:dLbls>
        <c:marker val="1"/>
        <c:axId val="131493248"/>
        <c:axId val="131511424"/>
      </c:lineChart>
      <c:catAx>
        <c:axId val="131489792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"/>
                <a:cs typeface="Arial"/>
              </a:defRPr>
            </a:pPr>
            <a:endParaRPr lang="es-MX"/>
          </a:p>
        </c:txPr>
        <c:crossAx val="131491328"/>
        <c:crosses val="autoZero"/>
        <c:lblAlgn val="ctr"/>
        <c:lblOffset val="100"/>
        <c:tickLblSkip val="1"/>
        <c:tickMarkSkip val="1"/>
      </c:catAx>
      <c:valAx>
        <c:axId val="131491328"/>
        <c:scaling>
          <c:orientation val="minMax"/>
          <c:max val="210"/>
          <c:min val="0"/>
        </c:scaling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"/>
                    <a:cs typeface="Arial"/>
                  </a:defRPr>
                </a:pPr>
                <a:r>
                  <a:rPr lang="es-MX" sz="18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Arial Unicode MS" pitchFamily="34" charset="-128"/>
                    <a:cs typeface="Arial Unicode MS" pitchFamily="34" charset="-128"/>
                  </a:rPr>
                  <a:t>Número de Personas</a:t>
                </a:r>
              </a:p>
            </c:rich>
          </c:tx>
          <c:layout>
            <c:manualLayout>
              <c:xMode val="edge"/>
              <c:yMode val="edge"/>
              <c:x val="0"/>
              <c:y val="0.32542372881356407"/>
            </c:manualLayout>
          </c:layout>
          <c:spPr>
            <a:noFill/>
            <a:ln w="25400">
              <a:noFill/>
            </a:ln>
          </c:spPr>
        </c:title>
        <c:numFmt formatCode="#,##0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1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Arial Unicode MS" pitchFamily="34" charset="-128"/>
                <a:cs typeface="Arial Unicode MS" pitchFamily="34" charset="-128"/>
              </a:defRPr>
            </a:pPr>
            <a:endParaRPr lang="es-MX"/>
          </a:p>
        </c:txPr>
        <c:crossAx val="131489792"/>
        <c:crosses val="autoZero"/>
        <c:crossBetween val="between"/>
        <c:majorUnit val="30"/>
        <c:minorUnit val="4"/>
      </c:valAx>
      <c:catAx>
        <c:axId val="131493248"/>
        <c:scaling>
          <c:orientation val="minMax"/>
        </c:scaling>
        <c:delete val="1"/>
        <c:axPos val="b"/>
        <c:numFmt formatCode="General" sourceLinked="1"/>
        <c:tickLblPos val="none"/>
        <c:crossAx val="131511424"/>
        <c:crosses val="autoZero"/>
        <c:lblAlgn val="ctr"/>
        <c:lblOffset val="100"/>
      </c:catAx>
      <c:valAx>
        <c:axId val="131511424"/>
        <c:scaling>
          <c:orientation val="minMax"/>
        </c:scaling>
        <c:delete val="1"/>
        <c:axPos val="l"/>
        <c:numFmt formatCode="#,##0" sourceLinked="1"/>
        <c:tickLblPos val="none"/>
        <c:crossAx val="131493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203378145467255"/>
          <c:y val="8.474576271186661E-3"/>
          <c:w val="0.87069981298873633"/>
          <c:h val="0.25244717291694468"/>
        </c:manualLayout>
      </c:layout>
      <c:spPr>
        <a:noFill/>
        <a:ln w="25400">
          <a:noFill/>
        </a:ln>
      </c:spPr>
      <c:txPr>
        <a:bodyPr/>
        <a:lstStyle/>
        <a:p>
          <a:pPr>
            <a:defRPr sz="2000" b="0" i="1" u="none" strike="noStrike" baseline="0">
              <a:solidFill>
                <a:srgbClr val="000080"/>
              </a:solidFill>
              <a:latin typeface="+mn-lt"/>
              <a:ea typeface="Arial Unicode MS" pitchFamily="34" charset="-128"/>
              <a:cs typeface="Arial Unicode MS" pitchFamily="34" charset="-128"/>
            </a:defRPr>
          </a:pPr>
          <a:endParaRPr lang="es-MX"/>
        </a:p>
      </c:txPr>
    </c:legend>
    <c:plotVisOnly val="1"/>
    <c:dispBlanksAs val="gap"/>
  </c:chart>
  <c:spPr>
    <a:gradFill>
      <a:gsLst>
        <a:gs pos="0">
          <a:srgbClr val="AEBAD5">
            <a:lumMod val="60000"/>
            <a:lumOff val="40000"/>
          </a:srgbClr>
        </a:gs>
        <a:gs pos="86000">
          <a:srgbClr val="777C84">
            <a:lumMod val="20000"/>
            <a:lumOff val="80000"/>
            <a:alpha val="51000"/>
          </a:srgbClr>
        </a:gs>
        <a:gs pos="100000">
          <a:srgbClr val="AEBAD5">
            <a:lumMod val="20000"/>
            <a:lumOff val="80000"/>
          </a:srgbClr>
        </a:gs>
      </a:gsLst>
      <a:lin ang="5400000" scaled="0"/>
    </a:gradFill>
    <a:ln w="9525">
      <a:noFill/>
    </a:ln>
    <a:scene3d>
      <a:camera prst="orthographicFront"/>
      <a:lightRig rig="threePt" dir="t"/>
    </a:scene3d>
    <a:sp3d>
      <a:bevelT w="635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chart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8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9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0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1.bin"/></Relationships>
</file>

<file path=xl/chart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2.bin"/></Relationships>
</file>

<file path=xl/chart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3.bin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4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5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6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7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8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9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0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1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4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5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6.bin"/></Relationships>
</file>

<file path=xl/chart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7.bin"/></Relationships>
</file>

<file path=xl/chart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9.bin"/></Relationships>
</file>

<file path=xl/chart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0.bin"/></Relationships>
</file>

<file path=xl/chart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1.bin"/></Relationships>
</file>

<file path=xl/chart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2.bin"/></Relationships>
</file>

<file path=xl/chart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chart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3.bin"/></Relationships>
</file>

<file path=xl/chart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4.bin"/></Relationships>
</file>

<file path=xl/chart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45.bin"/></Relationships>
</file>

<file path=xl/chart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6.bin"/></Relationships>
</file>

<file path=xl/chart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4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8.bin"/></Relationships>
</file>

<file path=xl/chart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49.bin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Gráfico13">
    <tabColor indexed="44"/>
  </sheetPr>
  <sheetViews>
    <sheetView zoomScale="75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Gráfico2">
    <tabColor indexed="44"/>
  </sheetPr>
  <sheetViews>
    <sheetView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/>
  <sheetViews>
    <sheetView zoomScale="70" workbookViewId="0"/>
  </sheetViews>
  <pageMargins left="0.7" right="0.7" top="0.75" bottom="0.75" header="0.3" footer="0.3"/>
  <headerFooter alignWithMargins="0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Gráfico4">
    <tabColor indexed="44"/>
  </sheetPr>
  <sheetViews>
    <sheetView zoomScale="55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 codeName="Gráfico36">
    <tabColor indexed="44"/>
  </sheetPr>
  <sheetViews>
    <sheetView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Gráfico38"/>
  <sheetViews>
    <sheetView zoomScale="85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Gráfico5">
    <tabColor indexed="41"/>
  </sheetPr>
  <sheetViews>
    <sheetView zoomScale="87" workbookViewId="0" zoomToFit="1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Gráfico8">
    <tabColor indexed="44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 codeName="Gráfico7">
    <tabColor indexed="44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Gráfico9">
    <tabColor indexed="44"/>
  </sheetPr>
  <sheetViews>
    <sheetView zoomScale="8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Gráfico29">
    <tabColor indexed="44"/>
  </sheetPr>
  <sheetViews>
    <sheetView zoomScale="75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0.xml><?xml version="1.0" encoding="utf-8"?>
<chartsheet xmlns="http://schemas.openxmlformats.org/spreadsheetml/2006/main" xmlns:r="http://schemas.openxmlformats.org/officeDocument/2006/relationships">
  <sheetPr codeName="Gráfico10">
    <tabColor indexed="44"/>
  </sheetPr>
  <sheetViews>
    <sheetView zoomScale="67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Gráfico17">
    <tabColor indexed="44"/>
  </sheetPr>
  <sheetViews>
    <sheetView zoomScale="75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 codeName="Gráfico6">
    <tabColor indexed="44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Gráfico11">
    <tabColor indexed="44"/>
  </sheetPr>
  <sheetViews>
    <sheetView zoomScale="75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 codeName="Gráfico12">
    <tabColor indexed="44"/>
  </sheetPr>
  <sheetViews>
    <sheetView zoomScale="70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 codeName="Gráfico39">
    <tabColor indexed="10"/>
  </sheetPr>
  <sheetViews>
    <sheetView zoomScale="88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6.xml><?xml version="1.0" encoding="utf-8"?>
<chartsheet xmlns="http://schemas.openxmlformats.org/spreadsheetml/2006/main" xmlns:r="http://schemas.openxmlformats.org/officeDocument/2006/relationships">
  <sheetPr codeName="Gráfico40">
    <tabColor indexed="10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27.xml><?xml version="1.0" encoding="utf-8"?>
<chartsheet xmlns="http://schemas.openxmlformats.org/spreadsheetml/2006/main" xmlns:r="http://schemas.openxmlformats.org/officeDocument/2006/relationships">
  <sheetPr codeName="Gráfico14">
    <tabColor indexed="10"/>
  </sheetPr>
  <sheetViews>
    <sheetView zoomScale="70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>
  <sheetPr codeName="Gráfico30">
    <tabColor indexed="10"/>
  </sheetPr>
  <sheetViews>
    <sheetView zoomScale="85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>
  <sheetPr codeName="Gráfico15">
    <tabColor indexed="10"/>
  </sheetPr>
  <sheetViews>
    <sheetView zoomScale="75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Gráfico31">
    <tabColor indexed="44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30.xml><?xml version="1.0" encoding="utf-8"?>
<chartsheet xmlns="http://schemas.openxmlformats.org/spreadsheetml/2006/main" xmlns:r="http://schemas.openxmlformats.org/officeDocument/2006/relationships">
  <sheetPr codeName="Gráfico18">
    <tabColor indexed="10"/>
  </sheetPr>
  <sheetViews>
    <sheetView zoomScale="70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>
  <sheetPr codeName="Gráfico41">
    <tabColor indexed="10"/>
  </sheetPr>
  <sheetViews>
    <sheetView zoomScale="70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>
  <sheetPr codeName="Gráfico28">
    <tabColor indexed="10"/>
  </sheetPr>
  <sheetViews>
    <sheetView zoomScale="85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>
  <sheetPr codeName="Gráfico32">
    <tabColor indexed="10"/>
  </sheetPr>
  <sheetViews>
    <sheetView zoomScale="7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>
  <sheetPr codeName="Gráfico42">
    <tabColor indexed="10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>
  <sheetPr codeName="Gráfico19">
    <tabColor indexed="35"/>
  </sheetPr>
  <sheetViews>
    <sheetView zoomScale="84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>
  <sheetPr codeName="Gráfico20">
    <tabColor indexed="35"/>
  </sheetPr>
  <sheetViews>
    <sheetView zoomScale="75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>
  <sheetPr codeName="Gráfico21">
    <tabColor indexed="35"/>
  </sheetPr>
  <sheetViews>
    <sheetView zoomScale="84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38.xml><?xml version="1.0" encoding="utf-8"?>
<chartsheet xmlns="http://schemas.openxmlformats.org/spreadsheetml/2006/main" xmlns:r="http://schemas.openxmlformats.org/officeDocument/2006/relationships">
  <sheetPr codeName="Gráfico22">
    <tabColor indexed="41"/>
  </sheetPr>
  <sheetViews>
    <sheetView zoomScale="10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39.xml><?xml version="1.0" encoding="utf-8"?>
<chartsheet xmlns="http://schemas.openxmlformats.org/spreadsheetml/2006/main" xmlns:r="http://schemas.openxmlformats.org/officeDocument/2006/relationships">
  <sheetPr codeName="Gráfico23">
    <tabColor indexed="41"/>
  </sheetPr>
  <sheetViews>
    <sheetView zoomScale="10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Gráfico33">
    <tabColor indexed="44"/>
  </sheetPr>
  <sheetViews>
    <sheetView zoomScale="75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0.xml><?xml version="1.0" encoding="utf-8"?>
<chartsheet xmlns="http://schemas.openxmlformats.org/spreadsheetml/2006/main" xmlns:r="http://schemas.openxmlformats.org/officeDocument/2006/relationships">
  <sheetPr codeName="Gráfico24">
    <tabColor indexed="10"/>
  </sheetPr>
  <sheetViews>
    <sheetView zoomScale="10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1.xml><?xml version="1.0" encoding="utf-8"?>
<chartsheet xmlns="http://schemas.openxmlformats.org/spreadsheetml/2006/main" xmlns:r="http://schemas.openxmlformats.org/officeDocument/2006/relationships">
  <sheetPr codeName="Gráfico25">
    <tabColor indexed="51"/>
  </sheetPr>
  <sheetViews>
    <sheetView zoomScale="70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2.xml><?xml version="1.0" encoding="utf-8"?>
<chartsheet xmlns="http://schemas.openxmlformats.org/spreadsheetml/2006/main" xmlns:r="http://schemas.openxmlformats.org/officeDocument/2006/relationships">
  <sheetPr codeName="Gráfico26">
    <tabColor indexed="51"/>
  </sheetPr>
  <sheetViews>
    <sheetView zoomScale="84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3.xml><?xml version="1.0" encoding="utf-8"?>
<chartsheet xmlns="http://schemas.openxmlformats.org/spreadsheetml/2006/main" xmlns:r="http://schemas.openxmlformats.org/officeDocument/2006/relationships">
  <sheetPr codeName="Gráfico27">
    <tabColor indexed="13"/>
  </sheetPr>
  <sheetViews>
    <sheetView zoomScale="5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44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45.xml><?xml version="1.0" encoding="utf-8"?>
<chartsheet xmlns="http://schemas.openxmlformats.org/spreadsheetml/2006/main" xmlns:r="http://schemas.openxmlformats.org/officeDocument/2006/relationships">
  <sheetPr codeName="Gráfico46">
    <tabColor indexed="44"/>
  </sheetPr>
  <sheetViews>
    <sheetView zoomScale="75" workbookViewId="0"/>
  </sheetViews>
  <pageMargins left="0.75" right="0.75" top="1" bottom="1" header="0" footer="0"/>
  <pageSetup orientation="landscape" r:id="rId1"/>
  <headerFooter alignWithMargins="0"/>
  <drawing r:id="rId2"/>
</chartsheet>
</file>

<file path=xl/chartsheets/sheet46.xml><?xml version="1.0" encoding="utf-8"?>
<chartsheet xmlns="http://schemas.openxmlformats.org/spreadsheetml/2006/main" xmlns:r="http://schemas.openxmlformats.org/officeDocument/2006/relationships">
  <sheetPr codeName="Gráfico47">
    <tabColor indexed="44"/>
  </sheetPr>
  <sheetViews>
    <sheetView zoomScale="9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47.xml><?xml version="1.0" encoding="utf-8"?>
<chartsheet xmlns="http://schemas.openxmlformats.org/spreadsheetml/2006/main" xmlns:r="http://schemas.openxmlformats.org/officeDocument/2006/relationships">
  <sheetPr codeName="Gráfico48">
    <tabColor indexed="44"/>
  </sheetPr>
  <sheetViews>
    <sheetView zoomScale="70" workbookViewId="0"/>
  </sheetViews>
  <pageMargins left="0.75" right="0.75" top="1" bottom="1" header="0.5" footer="0.5"/>
  <pageSetup orientation="landscape" horizontalDpi="300" verticalDpi="300" r:id="rId1"/>
  <headerFooter alignWithMargins="0"/>
  <drawing r:id="rId2"/>
</chartsheet>
</file>

<file path=xl/chartsheets/sheet48.xml><?xml version="1.0" encoding="utf-8"?>
<chartsheet xmlns="http://schemas.openxmlformats.org/spreadsheetml/2006/main" xmlns:r="http://schemas.openxmlformats.org/officeDocument/2006/relationships">
  <sheetPr codeName="Gráfico49">
    <tabColor indexed="44"/>
  </sheetPr>
  <sheetViews>
    <sheetView zoomScale="55" workbookViewId="0"/>
  </sheetViews>
  <pageMargins left="0.75" right="0.75" top="1" bottom="1" header="0" footer="0"/>
  <pageSetup paperSize="9" orientation="landscape" r:id="rId1"/>
  <headerFooter alignWithMargins="0"/>
  <drawing r:id="rId2"/>
</chartsheet>
</file>

<file path=xl/chartsheets/sheet49.xml><?xml version="1.0" encoding="utf-8"?>
<chartsheet xmlns="http://schemas.openxmlformats.org/spreadsheetml/2006/main" xmlns:r="http://schemas.openxmlformats.org/officeDocument/2006/relationships">
  <sheetPr codeName="Gráfico51">
    <tabColor indexed="44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Gráfico34"/>
  <sheetViews>
    <sheetView zoomScale="120" workbookViewId="0"/>
  </sheetViews>
  <pageMargins left="0.7" right="0.7" top="0.75" bottom="0.75" header="0.3" footer="0.3"/>
  <pageSetup orientation="landscape" r:id="rId1"/>
  <drawing r:id="rId2"/>
</chartsheet>
</file>

<file path=xl/chartsheets/sheet50.xml><?xml version="1.0" encoding="utf-8"?>
<chartsheet xmlns="http://schemas.openxmlformats.org/spreadsheetml/2006/main" xmlns:r="http://schemas.openxmlformats.org/officeDocument/2006/relationships">
  <sheetPr codeName="Gráfico52">
    <tabColor indexed="44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51.xml><?xml version="1.0" encoding="utf-8"?>
<chartsheet xmlns="http://schemas.openxmlformats.org/spreadsheetml/2006/main" xmlns:r="http://schemas.openxmlformats.org/officeDocument/2006/relationships">
  <sheetPr codeName="Gráfico53">
    <tabColor indexed="44"/>
  </sheetPr>
  <sheetViews>
    <sheetView zoomScale="75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Gráfico35"/>
  <sheetViews>
    <sheetView zoomScale="75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78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Gráfico16">
    <tabColor indexed="44"/>
  </sheetPr>
  <sheetViews>
    <sheetView zoomScale="70" workbookViewId="0"/>
  </sheetViews>
  <pageMargins left="0.75" right="0.75" top="1" bottom="1" header="0.5" footer="0.5"/>
  <pageSetup orientation="landscape" r:id="rId1"/>
  <headerFooter alignWithMargins="0">
    <oddHeader>&amp;A</oddHeader>
    <oddFooter>Page &amp;P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Gráfico1">
    <tabColor indexed="44"/>
  </sheetPr>
  <sheetViews>
    <sheetView tabSelected="1" zoomScale="85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5.xml"/><Relationship Id="rId1" Type="http://schemas.openxmlformats.org/officeDocument/2006/relationships/chart" Target="../charts/chart44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4" Type="http://schemas.openxmlformats.org/officeDocument/2006/relationships/chart" Target="../charts/chart5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558893" cy="582385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336</xdr:row>
      <xdr:rowOff>0</xdr:rowOff>
    </xdr:from>
    <xdr:ext cx="65" cy="411572"/>
    <xdr:sp macro="" textlink="">
      <xdr:nvSpPr>
        <xdr:cNvPr id="1083" name="Rectangle 59"/>
        <xdr:cNvSpPr>
          <a:spLocks noChangeArrowheads="1"/>
        </xdr:cNvSpPr>
      </xdr:nvSpPr>
      <xdr:spPr bwMode="auto">
        <a:xfrm>
          <a:off x="190500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0</xdr:col>
      <xdr:colOff>190500</xdr:colOff>
      <xdr:row>336</xdr:row>
      <xdr:rowOff>0</xdr:rowOff>
    </xdr:from>
    <xdr:ext cx="65" cy="411572"/>
    <xdr:sp macro="" textlink="">
      <xdr:nvSpPr>
        <xdr:cNvPr id="1084" name="Rectangle 60"/>
        <xdr:cNvSpPr>
          <a:spLocks noChangeArrowheads="1"/>
        </xdr:cNvSpPr>
      </xdr:nvSpPr>
      <xdr:spPr bwMode="auto">
        <a:xfrm>
          <a:off x="190500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10</xdr:col>
      <xdr:colOff>0</xdr:colOff>
      <xdr:row>336</xdr:row>
      <xdr:rowOff>0</xdr:rowOff>
    </xdr:from>
    <xdr:ext cx="21373" cy="206766"/>
    <xdr:sp macro="" textlink="">
      <xdr:nvSpPr>
        <xdr:cNvPr id="1085" name="Rectangle 61"/>
        <xdr:cNvSpPr>
          <a:spLocks noChangeArrowheads="1"/>
        </xdr:cNvSpPr>
      </xdr:nvSpPr>
      <xdr:spPr bwMode="auto">
        <a:xfrm>
          <a:off x="3800475" y="20269200"/>
          <a:ext cx="32060" cy="31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0</xdr:col>
      <xdr:colOff>190500</xdr:colOff>
      <xdr:row>336</xdr:row>
      <xdr:rowOff>0</xdr:rowOff>
    </xdr:from>
    <xdr:ext cx="65" cy="411572"/>
    <xdr:sp macro="" textlink="">
      <xdr:nvSpPr>
        <xdr:cNvPr id="1086" name="Rectangle 62"/>
        <xdr:cNvSpPr>
          <a:spLocks noChangeArrowheads="1"/>
        </xdr:cNvSpPr>
      </xdr:nvSpPr>
      <xdr:spPr bwMode="auto">
        <a:xfrm>
          <a:off x="190500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0</xdr:col>
      <xdr:colOff>190500</xdr:colOff>
      <xdr:row>336</xdr:row>
      <xdr:rowOff>0</xdr:rowOff>
    </xdr:from>
    <xdr:ext cx="65" cy="411572"/>
    <xdr:sp macro="" textlink="">
      <xdr:nvSpPr>
        <xdr:cNvPr id="1087" name="Rectangle 63"/>
        <xdr:cNvSpPr>
          <a:spLocks noChangeArrowheads="1"/>
        </xdr:cNvSpPr>
      </xdr:nvSpPr>
      <xdr:spPr bwMode="auto">
        <a:xfrm>
          <a:off x="190500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0</xdr:col>
      <xdr:colOff>190500</xdr:colOff>
      <xdr:row>336</xdr:row>
      <xdr:rowOff>0</xdr:rowOff>
    </xdr:from>
    <xdr:ext cx="65" cy="411572"/>
    <xdr:sp macro="" textlink="">
      <xdr:nvSpPr>
        <xdr:cNvPr id="1088" name="Rectangle 64"/>
        <xdr:cNvSpPr>
          <a:spLocks noChangeArrowheads="1"/>
        </xdr:cNvSpPr>
      </xdr:nvSpPr>
      <xdr:spPr bwMode="auto">
        <a:xfrm>
          <a:off x="190500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0</xdr:col>
      <xdr:colOff>190500</xdr:colOff>
      <xdr:row>336</xdr:row>
      <xdr:rowOff>0</xdr:rowOff>
    </xdr:from>
    <xdr:ext cx="65" cy="411572"/>
    <xdr:sp macro="" textlink="">
      <xdr:nvSpPr>
        <xdr:cNvPr id="1089" name="Rectangle 65"/>
        <xdr:cNvSpPr>
          <a:spLocks noChangeArrowheads="1"/>
        </xdr:cNvSpPr>
      </xdr:nvSpPr>
      <xdr:spPr bwMode="auto">
        <a:xfrm>
          <a:off x="190500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8</xdr:col>
      <xdr:colOff>0</xdr:colOff>
      <xdr:row>336</xdr:row>
      <xdr:rowOff>0</xdr:rowOff>
    </xdr:from>
    <xdr:ext cx="65" cy="411572"/>
    <xdr:sp macro="" textlink="">
      <xdr:nvSpPr>
        <xdr:cNvPr id="1090" name="Rectangle 66"/>
        <xdr:cNvSpPr>
          <a:spLocks noChangeArrowheads="1"/>
        </xdr:cNvSpPr>
      </xdr:nvSpPr>
      <xdr:spPr bwMode="auto">
        <a:xfrm>
          <a:off x="466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8</xdr:col>
      <xdr:colOff>0</xdr:colOff>
      <xdr:row>336</xdr:row>
      <xdr:rowOff>0</xdr:rowOff>
    </xdr:from>
    <xdr:ext cx="65" cy="411572"/>
    <xdr:sp macro="" textlink="">
      <xdr:nvSpPr>
        <xdr:cNvPr id="1091" name="Rectangle 67"/>
        <xdr:cNvSpPr>
          <a:spLocks noChangeArrowheads="1"/>
        </xdr:cNvSpPr>
      </xdr:nvSpPr>
      <xdr:spPr bwMode="auto">
        <a:xfrm>
          <a:off x="466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8</xdr:col>
      <xdr:colOff>0</xdr:colOff>
      <xdr:row>336</xdr:row>
      <xdr:rowOff>0</xdr:rowOff>
    </xdr:from>
    <xdr:ext cx="65" cy="411572"/>
    <xdr:sp macro="" textlink="">
      <xdr:nvSpPr>
        <xdr:cNvPr id="1092" name="Rectangle 68"/>
        <xdr:cNvSpPr>
          <a:spLocks noChangeArrowheads="1"/>
        </xdr:cNvSpPr>
      </xdr:nvSpPr>
      <xdr:spPr bwMode="auto">
        <a:xfrm>
          <a:off x="466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22</xdr:col>
      <xdr:colOff>0</xdr:colOff>
      <xdr:row>336</xdr:row>
      <xdr:rowOff>0</xdr:rowOff>
    </xdr:from>
    <xdr:ext cx="65" cy="411572"/>
    <xdr:sp macro="" textlink="">
      <xdr:nvSpPr>
        <xdr:cNvPr id="1093" name="Rectangle 69"/>
        <xdr:cNvSpPr>
          <a:spLocks noChangeArrowheads="1"/>
        </xdr:cNvSpPr>
      </xdr:nvSpPr>
      <xdr:spPr bwMode="auto">
        <a:xfrm>
          <a:off x="14944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22</xdr:col>
      <xdr:colOff>0</xdr:colOff>
      <xdr:row>336</xdr:row>
      <xdr:rowOff>0</xdr:rowOff>
    </xdr:from>
    <xdr:ext cx="65" cy="411572"/>
    <xdr:sp macro="" textlink="">
      <xdr:nvSpPr>
        <xdr:cNvPr id="1094" name="Rectangle 70"/>
        <xdr:cNvSpPr>
          <a:spLocks noChangeArrowheads="1"/>
        </xdr:cNvSpPr>
      </xdr:nvSpPr>
      <xdr:spPr bwMode="auto">
        <a:xfrm>
          <a:off x="14944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22</xdr:col>
      <xdr:colOff>0</xdr:colOff>
      <xdr:row>336</xdr:row>
      <xdr:rowOff>0</xdr:rowOff>
    </xdr:from>
    <xdr:ext cx="65" cy="411572"/>
    <xdr:sp macro="" textlink="">
      <xdr:nvSpPr>
        <xdr:cNvPr id="1095" name="Rectangle 71"/>
        <xdr:cNvSpPr>
          <a:spLocks noChangeArrowheads="1"/>
        </xdr:cNvSpPr>
      </xdr:nvSpPr>
      <xdr:spPr bwMode="auto">
        <a:xfrm>
          <a:off x="14944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0</xdr:col>
      <xdr:colOff>190500</xdr:colOff>
      <xdr:row>336</xdr:row>
      <xdr:rowOff>0</xdr:rowOff>
    </xdr:from>
    <xdr:ext cx="65" cy="411572"/>
    <xdr:sp macro="" textlink="">
      <xdr:nvSpPr>
        <xdr:cNvPr id="1096" name="Rectangle 72"/>
        <xdr:cNvSpPr>
          <a:spLocks noChangeArrowheads="1"/>
        </xdr:cNvSpPr>
      </xdr:nvSpPr>
      <xdr:spPr bwMode="auto">
        <a:xfrm>
          <a:off x="190500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8</xdr:col>
      <xdr:colOff>0</xdr:colOff>
      <xdr:row>336</xdr:row>
      <xdr:rowOff>0</xdr:rowOff>
    </xdr:from>
    <xdr:ext cx="65" cy="411572"/>
    <xdr:sp macro="" textlink="">
      <xdr:nvSpPr>
        <xdr:cNvPr id="1097" name="Rectangle 73"/>
        <xdr:cNvSpPr>
          <a:spLocks noChangeArrowheads="1"/>
        </xdr:cNvSpPr>
      </xdr:nvSpPr>
      <xdr:spPr bwMode="auto">
        <a:xfrm>
          <a:off x="466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8</xdr:col>
      <xdr:colOff>0</xdr:colOff>
      <xdr:row>336</xdr:row>
      <xdr:rowOff>0</xdr:rowOff>
    </xdr:from>
    <xdr:ext cx="65" cy="411572"/>
    <xdr:sp macro="" textlink="">
      <xdr:nvSpPr>
        <xdr:cNvPr id="1098" name="Rectangle 74"/>
        <xdr:cNvSpPr>
          <a:spLocks noChangeArrowheads="1"/>
        </xdr:cNvSpPr>
      </xdr:nvSpPr>
      <xdr:spPr bwMode="auto">
        <a:xfrm>
          <a:off x="466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8</xdr:col>
      <xdr:colOff>0</xdr:colOff>
      <xdr:row>336</xdr:row>
      <xdr:rowOff>0</xdr:rowOff>
    </xdr:from>
    <xdr:ext cx="65" cy="411572"/>
    <xdr:sp macro="" textlink="">
      <xdr:nvSpPr>
        <xdr:cNvPr id="1099" name="Rectangle 75"/>
        <xdr:cNvSpPr>
          <a:spLocks noChangeArrowheads="1"/>
        </xdr:cNvSpPr>
      </xdr:nvSpPr>
      <xdr:spPr bwMode="auto">
        <a:xfrm>
          <a:off x="466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8</xdr:col>
      <xdr:colOff>0</xdr:colOff>
      <xdr:row>336</xdr:row>
      <xdr:rowOff>0</xdr:rowOff>
    </xdr:from>
    <xdr:ext cx="65" cy="411572"/>
    <xdr:sp macro="" textlink="">
      <xdr:nvSpPr>
        <xdr:cNvPr id="1100" name="Rectangle 76"/>
        <xdr:cNvSpPr>
          <a:spLocks noChangeArrowheads="1"/>
        </xdr:cNvSpPr>
      </xdr:nvSpPr>
      <xdr:spPr bwMode="auto">
        <a:xfrm>
          <a:off x="466725" y="20269200"/>
          <a:ext cx="65" cy="3539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12</xdr:col>
      <xdr:colOff>0</xdr:colOff>
      <xdr:row>336</xdr:row>
      <xdr:rowOff>0</xdr:rowOff>
    </xdr:from>
    <xdr:ext cx="21373" cy="206766"/>
    <xdr:sp macro="" textlink="">
      <xdr:nvSpPr>
        <xdr:cNvPr id="1101" name="Rectangle 77"/>
        <xdr:cNvSpPr>
          <a:spLocks noChangeArrowheads="1"/>
        </xdr:cNvSpPr>
      </xdr:nvSpPr>
      <xdr:spPr bwMode="auto">
        <a:xfrm>
          <a:off x="6391275" y="20269200"/>
          <a:ext cx="32060" cy="31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14</xdr:col>
      <xdr:colOff>0</xdr:colOff>
      <xdr:row>336</xdr:row>
      <xdr:rowOff>0</xdr:rowOff>
    </xdr:from>
    <xdr:ext cx="21373" cy="206766"/>
    <xdr:sp macro="" textlink="">
      <xdr:nvSpPr>
        <xdr:cNvPr id="1102" name="Rectangle 78"/>
        <xdr:cNvSpPr>
          <a:spLocks noChangeArrowheads="1"/>
        </xdr:cNvSpPr>
      </xdr:nvSpPr>
      <xdr:spPr bwMode="auto">
        <a:xfrm>
          <a:off x="8858250" y="20269200"/>
          <a:ext cx="32060" cy="31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16</xdr:col>
      <xdr:colOff>0</xdr:colOff>
      <xdr:row>336</xdr:row>
      <xdr:rowOff>0</xdr:rowOff>
    </xdr:from>
    <xdr:ext cx="21373" cy="206766"/>
    <xdr:sp macro="" textlink="">
      <xdr:nvSpPr>
        <xdr:cNvPr id="1103" name="Rectangle 79"/>
        <xdr:cNvSpPr>
          <a:spLocks noChangeArrowheads="1"/>
        </xdr:cNvSpPr>
      </xdr:nvSpPr>
      <xdr:spPr bwMode="auto">
        <a:xfrm>
          <a:off x="10763250" y="20269200"/>
          <a:ext cx="32060" cy="31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11</xdr:col>
      <xdr:colOff>0</xdr:colOff>
      <xdr:row>336</xdr:row>
      <xdr:rowOff>0</xdr:rowOff>
    </xdr:from>
    <xdr:ext cx="21373" cy="206766"/>
    <xdr:sp macro="" textlink="">
      <xdr:nvSpPr>
        <xdr:cNvPr id="23" name="Rectangle 61"/>
        <xdr:cNvSpPr>
          <a:spLocks noChangeArrowheads="1"/>
        </xdr:cNvSpPr>
      </xdr:nvSpPr>
      <xdr:spPr bwMode="auto">
        <a:xfrm>
          <a:off x="3966882" y="21739412"/>
          <a:ext cx="21373" cy="206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13</xdr:col>
      <xdr:colOff>0</xdr:colOff>
      <xdr:row>336</xdr:row>
      <xdr:rowOff>0</xdr:rowOff>
    </xdr:from>
    <xdr:ext cx="21373" cy="206766"/>
    <xdr:sp macro="" textlink="">
      <xdr:nvSpPr>
        <xdr:cNvPr id="24" name="Rectangle 77"/>
        <xdr:cNvSpPr>
          <a:spLocks noChangeArrowheads="1"/>
        </xdr:cNvSpPr>
      </xdr:nvSpPr>
      <xdr:spPr bwMode="auto">
        <a:xfrm>
          <a:off x="3966882" y="21739412"/>
          <a:ext cx="21373" cy="206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15</xdr:col>
      <xdr:colOff>0</xdr:colOff>
      <xdr:row>336</xdr:row>
      <xdr:rowOff>0</xdr:rowOff>
    </xdr:from>
    <xdr:ext cx="21373" cy="206766"/>
    <xdr:sp macro="" textlink="">
      <xdr:nvSpPr>
        <xdr:cNvPr id="25" name="Rectangle 78"/>
        <xdr:cNvSpPr>
          <a:spLocks noChangeArrowheads="1"/>
        </xdr:cNvSpPr>
      </xdr:nvSpPr>
      <xdr:spPr bwMode="auto">
        <a:xfrm>
          <a:off x="3966882" y="21739412"/>
          <a:ext cx="21373" cy="206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  <xdr:oneCellAnchor>
    <xdr:from>
      <xdr:col>17</xdr:col>
      <xdr:colOff>0</xdr:colOff>
      <xdr:row>336</xdr:row>
      <xdr:rowOff>0</xdr:rowOff>
    </xdr:from>
    <xdr:ext cx="21373" cy="206766"/>
    <xdr:sp macro="" textlink="">
      <xdr:nvSpPr>
        <xdr:cNvPr id="26" name="Rectangle 79"/>
        <xdr:cNvSpPr>
          <a:spLocks noChangeArrowheads="1"/>
        </xdr:cNvSpPr>
      </xdr:nvSpPr>
      <xdr:spPr bwMode="auto">
        <a:xfrm>
          <a:off x="3966882" y="21739412"/>
          <a:ext cx="21373" cy="2067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s-MX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MX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1235" cy="562535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13273" cy="5611091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583706" cy="583826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18448" cy="562741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8558893" cy="582385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8558893" cy="582385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5679281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8586716" cy="5842948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558893" cy="582385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0.94415</cdr:x>
      <cdr:y>0.09395</cdr:y>
    </cdr:from>
    <cdr:to>
      <cdr:x>0.97947</cdr:x>
      <cdr:y>0.71778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 rot="5400000">
          <a:off x="6433086" y="2218249"/>
          <a:ext cx="3642418" cy="303092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198429" cy="560614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58893" cy="582385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8558893" cy="5823857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198429" cy="560614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222441" cy="5625353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19050"/>
    <xdr:ext cx="9201150" cy="56197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19050"/>
    <xdr:ext cx="9201150" cy="56197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8583839" cy="583973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0.99</cdr:x>
      <cdr:y>0.68725</cdr:y>
    </cdr:from>
    <cdr:to>
      <cdr:x>1</cdr:x>
      <cdr:y>0.72475</cdr:y>
    </cdr:to>
    <cdr:sp macro="" textlink="">
      <cdr:nvSpPr>
        <cdr:cNvPr id="182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82025" y="4012732"/>
          <a:ext cx="85820" cy="2189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MX"/>
        </a:p>
      </cdr:txBody>
    </cdr: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8477250" cy="57150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8477250" cy="57150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</cdr:x>
      <cdr:y>0.31175</cdr:y>
    </cdr:from>
    <cdr:to>
      <cdr:x>0.02425</cdr:x>
      <cdr:y>0.40725</cdr:y>
    </cdr:to>
    <cdr:sp macro="" textlink="">
      <cdr:nvSpPr>
        <cdr:cNvPr id="181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1820254"/>
          <a:ext cx="208114" cy="5576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s-MX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Años</a:t>
          </a:r>
        </a:p>
      </cdr:txBody>
    </cdr:sp>
  </cdr:relSizeAnchor>
</c:userShapes>
</file>

<file path=xl/drawings/drawing48.xml><?xml version="1.0" encoding="utf-8"?>
<xdr:wsDr xmlns:xdr="http://schemas.openxmlformats.org/drawingml/2006/spreadsheetDrawing" xmlns:a="http://schemas.openxmlformats.org/drawingml/2006/main">
  <xdr:absoluteAnchor>
    <xdr:pos x="0" y="0"/>
    <xdr:ext cx="8583839" cy="583973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8553450" cy="58102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xdr:wsDr xmlns:xdr="http://schemas.openxmlformats.org/drawingml/2006/spreadsheetDrawing" xmlns:a="http://schemas.openxmlformats.org/drawingml/2006/main">
  <xdr:absoluteAnchor>
    <xdr:pos x="762000" y="485775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2</xdr:col>
      <xdr:colOff>0</xdr:colOff>
      <xdr:row>43</xdr:row>
      <xdr:rowOff>0</xdr:rowOff>
    </xdr:from>
    <xdr:to>
      <xdr:col>8</xdr:col>
      <xdr:colOff>0</xdr:colOff>
      <xdr:row>59</xdr:row>
      <xdr:rowOff>154642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xdr:wsDr xmlns:xdr="http://schemas.openxmlformats.org/drawingml/2006/spreadsheetDrawing" xmlns:a="http://schemas.openxmlformats.org/drawingml/2006/main">
  <xdr:absoluteAnchor>
    <xdr:pos x="9525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xdr:wsDr xmlns:xdr="http://schemas.openxmlformats.org/drawingml/2006/spreadsheetDrawing" xmlns:a="http://schemas.openxmlformats.org/drawingml/2006/main">
  <xdr:absoluteAnchor>
    <xdr:pos x="-27214" y="-40821"/>
    <xdr:ext cx="8582025" cy="58388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xdr:wsDr xmlns:xdr="http://schemas.openxmlformats.org/drawingml/2006/spreadsheetDrawing" xmlns:a="http://schemas.openxmlformats.org/drawingml/2006/main">
  <xdr:absoluteAnchor>
    <xdr:pos x="0" y="0"/>
    <xdr:ext cx="8654143" cy="5674179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19050" y="76200"/>
    <xdr:ext cx="8572500" cy="57150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2</xdr:row>
      <xdr:rowOff>123826</xdr:rowOff>
    </xdr:from>
    <xdr:to>
      <xdr:col>7</xdr:col>
      <xdr:colOff>352425</xdr:colOff>
      <xdr:row>24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47624</xdr:colOff>
      <xdr:row>2</xdr:row>
      <xdr:rowOff>104775</xdr:rowOff>
    </xdr:from>
    <xdr:to>
      <xdr:col>16</xdr:col>
      <xdr:colOff>57150</xdr:colOff>
      <xdr:row>24</xdr:row>
      <xdr:rowOff>104775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609600</xdr:colOff>
      <xdr:row>25</xdr:row>
      <xdr:rowOff>71437</xdr:rowOff>
    </xdr:from>
    <xdr:to>
      <xdr:col>7</xdr:col>
      <xdr:colOff>381000</xdr:colOff>
      <xdr:row>42</xdr:row>
      <xdr:rowOff>61912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247651</xdr:colOff>
      <xdr:row>44</xdr:row>
      <xdr:rowOff>157161</xdr:rowOff>
    </xdr:from>
    <xdr:to>
      <xdr:col>14</xdr:col>
      <xdr:colOff>581025</xdr:colOff>
      <xdr:row>75</xdr:row>
      <xdr:rowOff>133349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0.13403</cdr:x>
      <cdr:y>0.00255</cdr:y>
    </cdr:from>
    <cdr:to>
      <cdr:x>0.24023</cdr:x>
      <cdr:y>0.14934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154113" y="158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MX"/>
        </a:p>
      </cdr:txBody>
    </cdr:sp>
  </cdr:relSizeAnchor>
  <cdr:relSizeAnchor xmlns:cdr="http://schemas.openxmlformats.org/drawingml/2006/chartDrawing">
    <cdr:from>
      <cdr:x>0</cdr:x>
      <cdr:y>0.25128</cdr:y>
    </cdr:from>
    <cdr:to>
      <cdr:x>0.0339</cdr:x>
      <cdr:y>0.50896</cdr:y>
    </cdr:to>
    <cdr:sp macro="" textlink="">
      <cdr:nvSpPr>
        <cdr:cNvPr id="4" name="3 CuadroTexto"/>
        <cdr:cNvSpPr txBox="1"/>
      </cdr:nvSpPr>
      <cdr:spPr>
        <a:xfrm xmlns:a="http://schemas.openxmlformats.org/drawingml/2006/main" rot="16200000">
          <a:off x="-671763" y="2219367"/>
          <a:ext cx="1606494" cy="2887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s-MX" sz="1400" b="1">
              <a:solidFill>
                <a:sysClr val="windowText" lastClr="000000"/>
              </a:solidFill>
            </a:rPr>
            <a:t>Millones</a:t>
          </a:r>
          <a:r>
            <a:rPr lang="es-MX" sz="1400" b="1" baseline="0">
              <a:solidFill>
                <a:sysClr val="windowText" lastClr="000000"/>
              </a:solidFill>
            </a:rPr>
            <a:t> de pesos</a:t>
          </a:r>
          <a:endParaRPr lang="es-MX" sz="1400" b="1">
            <a:solidFill>
              <a:sysClr val="windowText" lastClr="00000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8650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0.34225</cdr:x>
      <cdr:y>0.01942</cdr:y>
    </cdr:from>
    <cdr:to>
      <cdr:x>0.81972</cdr:x>
      <cdr:y>0.08932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967405" y="122116"/>
          <a:ext cx="4139711" cy="439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MX" sz="2000" b="1"/>
            <a:t>Ingreso</a:t>
          </a:r>
          <a:r>
            <a:rPr lang="es-MX" sz="2000" b="1" baseline="0"/>
            <a:t>s por  Vinculación</a:t>
          </a:r>
          <a:endParaRPr lang="es-MX" sz="2000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ERARD~1.FUE\AppData\Local\Temp\Base%20de%20personal%20HO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ica-pc\Users\momiranda\AppData\Roaming\Microsoft\Excel\Factores%20de%20Impacto%202006%20201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bla DRESUMEN"/>
      <sheetName val="RDATOS"/>
      <sheetName val="Listado de personal"/>
      <sheetName val="Fuentes formulas"/>
      <sheetName val="Altas y Bajas "/>
      <sheetName val="Resumen conteo"/>
    </sheetNames>
    <sheetDataSet>
      <sheetData sheetId="0" refreshError="1"/>
      <sheetData sheetId="1" refreshError="1">
        <row r="5">
          <cell r="B5">
            <v>139</v>
          </cell>
        </row>
        <row r="6">
          <cell r="B6">
            <v>14</v>
          </cell>
        </row>
        <row r="7">
          <cell r="B7">
            <v>12</v>
          </cell>
        </row>
        <row r="8">
          <cell r="B8">
            <v>25</v>
          </cell>
        </row>
        <row r="9">
          <cell r="B9">
            <v>190</v>
          </cell>
        </row>
        <row r="21">
          <cell r="B21">
            <v>43</v>
          </cell>
        </row>
        <row r="22">
          <cell r="B22">
            <v>9</v>
          </cell>
        </row>
        <row r="23">
          <cell r="B23">
            <v>1</v>
          </cell>
        </row>
        <row r="24">
          <cell r="B24">
            <v>72</v>
          </cell>
        </row>
        <row r="25">
          <cell r="B25">
            <v>14</v>
          </cell>
        </row>
        <row r="26">
          <cell r="B26">
            <v>139</v>
          </cell>
        </row>
        <row r="32">
          <cell r="B32">
            <v>61</v>
          </cell>
        </row>
        <row r="40">
          <cell r="B40">
            <v>49</v>
          </cell>
        </row>
        <row r="41">
          <cell r="B41">
            <v>52</v>
          </cell>
        </row>
        <row r="42">
          <cell r="B42">
            <v>0.94230769230769229</v>
          </cell>
        </row>
        <row r="46">
          <cell r="B46">
            <v>6</v>
          </cell>
        </row>
        <row r="47">
          <cell r="B47">
            <v>10</v>
          </cell>
        </row>
        <row r="48">
          <cell r="B48">
            <v>29</v>
          </cell>
        </row>
        <row r="49">
          <cell r="B49">
            <v>4</v>
          </cell>
        </row>
        <row r="50">
          <cell r="B50">
            <v>49</v>
          </cell>
        </row>
        <row r="54">
          <cell r="B54">
            <v>52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ráfico3"/>
      <sheetName val="Hoja1"/>
      <sheetName val="Hoja2"/>
      <sheetName val="Hoja3"/>
    </sheetNames>
    <sheetDataSet>
      <sheetData sheetId="0" refreshError="1"/>
      <sheetData sheetId="1">
        <row r="12">
          <cell r="J12">
            <v>2006</v>
          </cell>
          <cell r="K12">
            <v>2007</v>
          </cell>
          <cell r="L12">
            <v>2008</v>
          </cell>
          <cell r="M12">
            <v>2009</v>
          </cell>
          <cell r="N12">
            <v>2010</v>
          </cell>
        </row>
        <row r="13">
          <cell r="I13" t="str">
            <v>Menor que 1</v>
          </cell>
          <cell r="J13">
            <v>36</v>
          </cell>
          <cell r="K13">
            <v>29</v>
          </cell>
          <cell r="L13">
            <v>32</v>
          </cell>
          <cell r="M13">
            <v>23</v>
          </cell>
          <cell r="N13">
            <v>27</v>
          </cell>
        </row>
        <row r="14">
          <cell r="I14" t="str">
            <v>Entre 1 y 2</v>
          </cell>
          <cell r="J14">
            <v>20</v>
          </cell>
          <cell r="K14">
            <v>33</v>
          </cell>
          <cell r="L14">
            <v>49</v>
          </cell>
          <cell r="M14">
            <v>60</v>
          </cell>
          <cell r="N14">
            <v>42</v>
          </cell>
        </row>
        <row r="15">
          <cell r="I15" t="str">
            <v>Entre 2 y 3</v>
          </cell>
          <cell r="J15">
            <v>14</v>
          </cell>
          <cell r="K15">
            <v>8</v>
          </cell>
          <cell r="L15">
            <v>9</v>
          </cell>
          <cell r="M15">
            <v>19</v>
          </cell>
          <cell r="N15">
            <v>20</v>
          </cell>
        </row>
        <row r="16">
          <cell r="I16" t="str">
            <v>Entre 3 y 5</v>
          </cell>
          <cell r="J16">
            <v>0</v>
          </cell>
          <cell r="K16">
            <v>2</v>
          </cell>
          <cell r="L16">
            <v>8</v>
          </cell>
          <cell r="M16">
            <v>9</v>
          </cell>
          <cell r="N16">
            <v>14</v>
          </cell>
        </row>
        <row r="17">
          <cell r="I17" t="str">
            <v>Mayor a 5</v>
          </cell>
          <cell r="J17">
            <v>0</v>
          </cell>
          <cell r="K17">
            <v>0</v>
          </cell>
          <cell r="L17">
            <v>0</v>
          </cell>
          <cell r="M17">
            <v>2</v>
          </cell>
          <cell r="N17">
            <v>1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Mirador">
      <a:dk1>
        <a:sysClr val="windowText" lastClr="000000"/>
      </a:dk1>
      <a:lt1>
        <a:sysClr val="window" lastClr="FFFFFF"/>
      </a:lt1>
      <a:dk2>
        <a:srgbClr val="575F6D"/>
      </a:dk2>
      <a:lt2>
        <a:srgbClr val="FFF39D"/>
      </a:lt2>
      <a:accent1>
        <a:srgbClr val="FE8637"/>
      </a:accent1>
      <a:accent2>
        <a:srgbClr val="7598D9"/>
      </a:accent2>
      <a:accent3>
        <a:srgbClr val="B32C16"/>
      </a:accent3>
      <a:accent4>
        <a:srgbClr val="F5CD2D"/>
      </a:accent4>
      <a:accent5>
        <a:srgbClr val="AEBAD5"/>
      </a:accent5>
      <a:accent6>
        <a:srgbClr val="777C84"/>
      </a:accent6>
      <a:hlink>
        <a:srgbClr val="D2611C"/>
      </a:hlink>
      <a:folHlink>
        <a:srgbClr val="3B435B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8">
    <tabColor indexed="34"/>
  </sheetPr>
  <dimension ref="A1:AN731"/>
  <sheetViews>
    <sheetView zoomScale="80" zoomScaleNormal="80" workbookViewId="0">
      <selection activeCell="I5" sqref="I5"/>
    </sheetView>
  </sheetViews>
  <sheetFormatPr baseColWidth="10" defaultRowHeight="12.75"/>
  <cols>
    <col min="1" max="1" width="9.42578125" bestFit="1" customWidth="1"/>
    <col min="2" max="2" width="1.7109375" customWidth="1"/>
    <col min="3" max="7" width="9.42578125" hidden="1" customWidth="1"/>
    <col min="8" max="8" width="2.85546875" customWidth="1"/>
    <col min="9" max="9" width="38.28515625" customWidth="1"/>
    <col min="10" max="10" width="20.28515625" style="171" hidden="1" customWidth="1"/>
    <col min="11" max="11" width="22.85546875" style="171" hidden="1" customWidth="1"/>
    <col min="12" max="12" width="20.28515625" style="171" hidden="1" customWidth="1"/>
    <col min="13" max="13" width="16.7109375" style="171" hidden="1" customWidth="1"/>
    <col min="14" max="14" width="17" style="171" hidden="1" customWidth="1"/>
    <col min="15" max="15" width="17.7109375" style="171" hidden="1" customWidth="1"/>
    <col min="16" max="16" width="17" style="158" customWidth="1"/>
    <col min="17" max="17" width="17.7109375" style="158" customWidth="1"/>
    <col min="18" max="18" width="17" style="158" customWidth="1"/>
    <col min="19" max="19" width="17.7109375" style="158" customWidth="1"/>
    <col min="20" max="20" width="17.5703125" style="158" customWidth="1"/>
    <col min="21" max="21" width="17.7109375" style="171" customWidth="1"/>
    <col min="22" max="22" width="17" style="171" customWidth="1"/>
    <col min="23" max="23" width="13.5703125" style="171" customWidth="1"/>
    <col min="24" max="24" width="17.85546875" customWidth="1"/>
    <col min="25" max="25" width="14.5703125" customWidth="1"/>
    <col min="26" max="27" width="19.28515625" customWidth="1"/>
    <col min="28" max="28" width="18.5703125" customWidth="1"/>
    <col min="29" max="29" width="19.5703125" customWidth="1"/>
    <col min="30" max="30" width="17.7109375" customWidth="1"/>
    <col min="31" max="31" width="16" customWidth="1"/>
  </cols>
  <sheetData>
    <row r="1" spans="8:30">
      <c r="X1" t="s">
        <v>593</v>
      </c>
    </row>
    <row r="2" spans="8:30" s="10" customFormat="1">
      <c r="L2" s="98"/>
      <c r="M2" s="98"/>
      <c r="N2" s="98"/>
      <c r="O2" s="98"/>
      <c r="P2" s="98"/>
      <c r="R2" s="376"/>
      <c r="S2" s="181"/>
      <c r="T2" s="181"/>
      <c r="U2" s="181"/>
      <c r="V2" s="181"/>
      <c r="W2" s="181"/>
      <c r="AC2"/>
      <c r="AD2" s="91"/>
    </row>
    <row r="3" spans="8:30">
      <c r="I3" s="421" t="s">
        <v>508</v>
      </c>
      <c r="J3" s="414" t="s">
        <v>2</v>
      </c>
      <c r="K3" s="414" t="s">
        <v>22</v>
      </c>
      <c r="L3" s="414" t="s">
        <v>25</v>
      </c>
      <c r="M3" s="414" t="s">
        <v>44</v>
      </c>
      <c r="N3" s="414" t="s">
        <v>55</v>
      </c>
      <c r="O3" s="414" t="s">
        <v>70</v>
      </c>
      <c r="P3" s="414" t="s">
        <v>72</v>
      </c>
      <c r="Q3" s="414">
        <v>2005</v>
      </c>
      <c r="R3" s="414">
        <v>2006</v>
      </c>
      <c r="S3" s="414">
        <v>2007</v>
      </c>
      <c r="T3" s="414">
        <v>2008</v>
      </c>
      <c r="U3" s="414">
        <v>2009</v>
      </c>
      <c r="V3" s="414">
        <v>2010</v>
      </c>
      <c r="W3" s="414">
        <v>2011</v>
      </c>
      <c r="X3" s="414">
        <v>2012</v>
      </c>
      <c r="Y3" s="414">
        <v>2013</v>
      </c>
      <c r="Z3" s="420"/>
      <c r="AA3" s="420"/>
    </row>
    <row r="4" spans="8:30">
      <c r="H4" s="258" t="s">
        <v>597</v>
      </c>
      <c r="I4" s="415" t="s">
        <v>509</v>
      </c>
      <c r="J4" s="416">
        <v>67</v>
      </c>
      <c r="K4" s="416">
        <v>79</v>
      </c>
      <c r="L4" s="416">
        <v>81</v>
      </c>
      <c r="M4" s="416">
        <v>94</v>
      </c>
      <c r="N4" s="416">
        <v>93</v>
      </c>
      <c r="O4" s="416">
        <v>99</v>
      </c>
      <c r="P4" s="416">
        <f>P76</f>
        <v>97</v>
      </c>
      <c r="Q4" s="417">
        <v>99</v>
      </c>
      <c r="R4" s="417">
        <f>35+68</f>
        <v>103</v>
      </c>
      <c r="S4" s="417">
        <v>110</v>
      </c>
      <c r="T4" s="416">
        <v>124</v>
      </c>
      <c r="U4" s="416">
        <v>130</v>
      </c>
      <c r="V4" s="416">
        <f>V76</f>
        <v>134</v>
      </c>
      <c r="W4" s="416">
        <f>W76</f>
        <v>136</v>
      </c>
      <c r="X4" s="416">
        <f>[1]RDATOS!$B$5</f>
        <v>139</v>
      </c>
      <c r="Y4" s="416">
        <v>143</v>
      </c>
      <c r="Z4" s="174"/>
      <c r="AA4" s="174"/>
    </row>
    <row r="5" spans="8:30">
      <c r="I5" s="415" t="s">
        <v>510</v>
      </c>
      <c r="J5" s="416"/>
      <c r="K5" s="416"/>
      <c r="L5" s="416"/>
      <c r="M5" s="416">
        <v>14</v>
      </c>
      <c r="N5" s="416">
        <v>17</v>
      </c>
      <c r="O5" s="416">
        <v>21</v>
      </c>
      <c r="P5" s="416">
        <v>20</v>
      </c>
      <c r="Q5" s="417">
        <v>17</v>
      </c>
      <c r="R5" s="417">
        <v>16</v>
      </c>
      <c r="S5" s="417">
        <v>16</v>
      </c>
      <c r="T5" s="416">
        <v>16</v>
      </c>
      <c r="U5" s="416">
        <v>16</v>
      </c>
      <c r="V5" s="416">
        <v>15</v>
      </c>
      <c r="W5" s="416">
        <v>15</v>
      </c>
      <c r="X5" s="416">
        <f>[1]RDATOS!B6</f>
        <v>14</v>
      </c>
      <c r="Y5" s="416">
        <v>15</v>
      </c>
      <c r="Z5" s="174"/>
      <c r="AA5" s="174"/>
    </row>
    <row r="6" spans="8:30">
      <c r="I6" s="418" t="s">
        <v>218</v>
      </c>
      <c r="J6" s="416">
        <v>8</v>
      </c>
      <c r="K6" s="416">
        <v>7</v>
      </c>
      <c r="L6" s="416">
        <v>7</v>
      </c>
      <c r="M6" s="419">
        <v>9</v>
      </c>
      <c r="N6" s="419">
        <v>9</v>
      </c>
      <c r="O6" s="419">
        <v>8</v>
      </c>
      <c r="P6" s="419">
        <v>14</v>
      </c>
      <c r="Q6" s="417">
        <v>8</v>
      </c>
      <c r="R6" s="417">
        <v>8</v>
      </c>
      <c r="S6" s="417">
        <v>6</v>
      </c>
      <c r="T6" s="419">
        <v>9</v>
      </c>
      <c r="U6" s="416">
        <v>9</v>
      </c>
      <c r="V6" s="416">
        <v>11</v>
      </c>
      <c r="W6" s="416">
        <v>12</v>
      </c>
      <c r="X6" s="416">
        <f>[1]RDATOS!B7</f>
        <v>12</v>
      </c>
      <c r="Y6" s="416">
        <v>12</v>
      </c>
      <c r="Z6" s="174"/>
      <c r="AA6" s="174"/>
    </row>
    <row r="7" spans="8:30">
      <c r="I7" s="415" t="s">
        <v>512</v>
      </c>
      <c r="J7" s="416">
        <v>29</v>
      </c>
      <c r="K7" s="416">
        <v>31</v>
      </c>
      <c r="L7" s="416">
        <v>34</v>
      </c>
      <c r="M7" s="419">
        <v>26</v>
      </c>
      <c r="N7" s="419">
        <v>25</v>
      </c>
      <c r="O7" s="419">
        <v>24</v>
      </c>
      <c r="P7" s="419">
        <v>20</v>
      </c>
      <c r="Q7" s="417">
        <v>24</v>
      </c>
      <c r="R7" s="417">
        <v>27</v>
      </c>
      <c r="S7" s="417">
        <v>27</v>
      </c>
      <c r="T7" s="417">
        <v>24</v>
      </c>
      <c r="U7" s="416">
        <v>26</v>
      </c>
      <c r="V7" s="416">
        <v>25</v>
      </c>
      <c r="W7" s="416">
        <v>25</v>
      </c>
      <c r="X7" s="416">
        <f>[1]RDATOS!B8</f>
        <v>25</v>
      </c>
      <c r="Y7" s="416">
        <v>25</v>
      </c>
      <c r="Z7" s="174"/>
      <c r="AA7" s="174"/>
    </row>
    <row r="8" spans="8:30">
      <c r="I8" s="418" t="s">
        <v>21</v>
      </c>
      <c r="J8" s="416">
        <f t="shared" ref="J8:W8" si="0">SUM(J4:J7)</f>
        <v>104</v>
      </c>
      <c r="K8" s="416">
        <f t="shared" si="0"/>
        <v>117</v>
      </c>
      <c r="L8" s="416">
        <f t="shared" si="0"/>
        <v>122</v>
      </c>
      <c r="M8" s="416">
        <f t="shared" si="0"/>
        <v>143</v>
      </c>
      <c r="N8" s="416">
        <f t="shared" si="0"/>
        <v>144</v>
      </c>
      <c r="O8" s="416">
        <f t="shared" si="0"/>
        <v>152</v>
      </c>
      <c r="P8" s="416">
        <f t="shared" si="0"/>
        <v>151</v>
      </c>
      <c r="Q8" s="416">
        <f t="shared" si="0"/>
        <v>148</v>
      </c>
      <c r="R8" s="416">
        <f t="shared" si="0"/>
        <v>154</v>
      </c>
      <c r="S8" s="416">
        <f t="shared" si="0"/>
        <v>159</v>
      </c>
      <c r="T8" s="416">
        <f t="shared" si="0"/>
        <v>173</v>
      </c>
      <c r="U8" s="416">
        <f t="shared" si="0"/>
        <v>181</v>
      </c>
      <c r="V8" s="416">
        <f t="shared" si="0"/>
        <v>185</v>
      </c>
      <c r="W8" s="416">
        <f t="shared" si="0"/>
        <v>188</v>
      </c>
      <c r="X8" s="416">
        <f>[1]RDATOS!B9</f>
        <v>190</v>
      </c>
      <c r="Y8" s="416">
        <f>SUM(Y4:Y7)</f>
        <v>195</v>
      </c>
      <c r="Z8" s="174"/>
      <c r="AA8" s="174"/>
    </row>
    <row r="9" spans="8:30">
      <c r="I9" s="1" t="s">
        <v>47</v>
      </c>
      <c r="J9" s="163"/>
      <c r="K9" s="163"/>
      <c r="L9" s="174"/>
      <c r="M9" s="173"/>
      <c r="N9" s="173"/>
      <c r="O9" s="173"/>
      <c r="P9" s="173"/>
      <c r="Q9" s="173"/>
      <c r="R9" s="173"/>
      <c r="S9" s="173"/>
      <c r="T9" s="173"/>
      <c r="U9" s="173"/>
      <c r="V9" s="98"/>
      <c r="W9" s="98"/>
    </row>
    <row r="10" spans="8:30" s="10" customFormat="1">
      <c r="L10" s="98"/>
      <c r="M10" s="98"/>
      <c r="N10" s="98"/>
      <c r="O10" s="98"/>
      <c r="P10" s="98"/>
      <c r="R10" s="376"/>
      <c r="S10" s="181"/>
      <c r="T10" s="181"/>
      <c r="U10" s="181"/>
      <c r="V10" s="181"/>
      <c r="W10" s="181"/>
      <c r="AC10"/>
      <c r="AD10" s="91"/>
    </row>
    <row r="11" spans="8:30">
      <c r="I11" s="421" t="s">
        <v>508</v>
      </c>
      <c r="J11" s="414" t="s">
        <v>2</v>
      </c>
      <c r="K11" s="414" t="s">
        <v>22</v>
      </c>
      <c r="L11" s="414" t="s">
        <v>25</v>
      </c>
      <c r="M11" s="414" t="s">
        <v>44</v>
      </c>
      <c r="N11" s="414" t="s">
        <v>55</v>
      </c>
      <c r="O11" s="414" t="s">
        <v>70</v>
      </c>
      <c r="P11" s="414" t="s">
        <v>72</v>
      </c>
      <c r="Q11" s="414">
        <v>2005</v>
      </c>
      <c r="R11" s="414">
        <v>2006</v>
      </c>
      <c r="S11" s="414">
        <v>2007</v>
      </c>
      <c r="T11" s="414">
        <v>2008</v>
      </c>
      <c r="U11" s="414">
        <v>2009</v>
      </c>
      <c r="V11" s="414">
        <v>2010</v>
      </c>
      <c r="W11" s="414">
        <v>2011</v>
      </c>
      <c r="X11" s="414">
        <v>2012</v>
      </c>
      <c r="Y11" s="414">
        <v>2013</v>
      </c>
      <c r="Z11" s="420"/>
      <c r="AA11" s="420"/>
    </row>
    <row r="12" spans="8:30">
      <c r="I12" s="415" t="s">
        <v>459</v>
      </c>
      <c r="J12" s="416">
        <v>67</v>
      </c>
      <c r="K12" s="416">
        <v>79</v>
      </c>
      <c r="L12" s="416">
        <v>81</v>
      </c>
      <c r="M12" s="416">
        <v>94</v>
      </c>
      <c r="N12" s="416">
        <v>93</v>
      </c>
      <c r="O12" s="416">
        <v>99</v>
      </c>
      <c r="P12" s="416">
        <f>P465</f>
        <v>0</v>
      </c>
      <c r="Q12" s="417">
        <v>99</v>
      </c>
      <c r="R12" s="417">
        <f>35+68</f>
        <v>103</v>
      </c>
      <c r="S12" s="417">
        <v>110</v>
      </c>
      <c r="T12" s="416">
        <v>124</v>
      </c>
      <c r="U12" s="416">
        <v>130</v>
      </c>
      <c r="V12" s="416">
        <f>V4</f>
        <v>134</v>
      </c>
      <c r="W12" s="416">
        <f>W4</f>
        <v>136</v>
      </c>
      <c r="X12" s="416">
        <f>[1]RDATOS!$B$5</f>
        <v>139</v>
      </c>
      <c r="Y12" s="416">
        <v>143</v>
      </c>
      <c r="Z12" s="174"/>
      <c r="AA12" s="174"/>
    </row>
    <row r="13" spans="8:30">
      <c r="I13" s="415" t="s">
        <v>511</v>
      </c>
      <c r="J13" s="416">
        <v>8</v>
      </c>
      <c r="K13" s="416">
        <v>7</v>
      </c>
      <c r="L13" s="416">
        <v>7</v>
      </c>
      <c r="M13" s="419">
        <v>9</v>
      </c>
      <c r="N13" s="419">
        <v>9</v>
      </c>
      <c r="O13" s="419">
        <v>8</v>
      </c>
      <c r="P13" s="419">
        <v>14</v>
      </c>
      <c r="Q13" s="417">
        <v>8</v>
      </c>
      <c r="R13" s="417">
        <v>8</v>
      </c>
      <c r="S13" s="417">
        <v>6</v>
      </c>
      <c r="T13" s="419">
        <v>9</v>
      </c>
      <c r="U13" s="416">
        <v>9</v>
      </c>
      <c r="V13" s="416">
        <v>11</v>
      </c>
      <c r="W13" s="416">
        <v>12</v>
      </c>
      <c r="X13" s="416">
        <f>[1]RDATOS!$B$7</f>
        <v>12</v>
      </c>
      <c r="Y13" s="416">
        <v>12</v>
      </c>
      <c r="Z13" s="174"/>
      <c r="AA13" s="174"/>
    </row>
    <row r="14" spans="8:30">
      <c r="I14" s="415" t="s">
        <v>219</v>
      </c>
      <c r="J14" s="416">
        <v>29</v>
      </c>
      <c r="K14" s="416">
        <v>31</v>
      </c>
      <c r="L14" s="416">
        <v>34</v>
      </c>
      <c r="M14" s="419">
        <v>40</v>
      </c>
      <c r="N14" s="419">
        <v>42</v>
      </c>
      <c r="O14" s="419">
        <v>45</v>
      </c>
      <c r="P14" s="419">
        <v>40</v>
      </c>
      <c r="Q14" s="417">
        <v>41</v>
      </c>
      <c r="R14" s="417">
        <v>43</v>
      </c>
      <c r="S14" s="417">
        <v>43</v>
      </c>
      <c r="T14" s="417">
        <v>40</v>
      </c>
      <c r="U14" s="416">
        <v>42</v>
      </c>
      <c r="V14" s="416">
        <v>40</v>
      </c>
      <c r="W14" s="416">
        <v>40</v>
      </c>
      <c r="X14" s="416">
        <f>[1]RDATOS!$B$6+[1]RDATOS!$B$8</f>
        <v>39</v>
      </c>
      <c r="Y14" s="416">
        <v>40</v>
      </c>
      <c r="Z14" s="174"/>
      <c r="AA14" s="174"/>
    </row>
    <row r="15" spans="8:30">
      <c r="I15" s="418" t="s">
        <v>21</v>
      </c>
      <c r="J15" s="416">
        <f t="shared" ref="J15:X15" si="1">SUM(J12:J14)</f>
        <v>104</v>
      </c>
      <c r="K15" s="416">
        <f t="shared" si="1"/>
        <v>117</v>
      </c>
      <c r="L15" s="416">
        <f t="shared" si="1"/>
        <v>122</v>
      </c>
      <c r="M15" s="416">
        <f t="shared" si="1"/>
        <v>143</v>
      </c>
      <c r="N15" s="416">
        <f t="shared" si="1"/>
        <v>144</v>
      </c>
      <c r="O15" s="416">
        <f t="shared" si="1"/>
        <v>152</v>
      </c>
      <c r="P15" s="416">
        <f t="shared" si="1"/>
        <v>54</v>
      </c>
      <c r="Q15" s="416">
        <f t="shared" si="1"/>
        <v>148</v>
      </c>
      <c r="R15" s="416">
        <f t="shared" si="1"/>
        <v>154</v>
      </c>
      <c r="S15" s="416">
        <f t="shared" si="1"/>
        <v>159</v>
      </c>
      <c r="T15" s="416">
        <f t="shared" si="1"/>
        <v>173</v>
      </c>
      <c r="U15" s="416">
        <f t="shared" si="1"/>
        <v>181</v>
      </c>
      <c r="V15" s="416">
        <f t="shared" si="1"/>
        <v>185</v>
      </c>
      <c r="W15" s="416">
        <f t="shared" si="1"/>
        <v>188</v>
      </c>
      <c r="X15" s="416">
        <f t="shared" si="1"/>
        <v>190</v>
      </c>
      <c r="Y15" s="416">
        <f>SUM(Y12:Y14)</f>
        <v>195</v>
      </c>
      <c r="Z15" s="174"/>
      <c r="AA15" s="174"/>
    </row>
    <row r="16" spans="8:30">
      <c r="I16" s="422" t="s">
        <v>514</v>
      </c>
      <c r="J16" s="416"/>
      <c r="K16" s="416"/>
      <c r="L16" s="416"/>
      <c r="M16" s="416"/>
      <c r="N16" s="416"/>
      <c r="O16" s="416"/>
      <c r="P16" s="416"/>
      <c r="Q16" s="416"/>
      <c r="R16" s="416"/>
      <c r="S16" s="416"/>
      <c r="T16" s="416"/>
      <c r="U16" s="416"/>
      <c r="V16" s="416"/>
      <c r="W16" s="416"/>
      <c r="X16" s="416"/>
      <c r="Y16" s="416"/>
      <c r="Z16" s="174"/>
      <c r="AA16" s="174"/>
    </row>
    <row r="17" spans="9:30">
      <c r="I17" s="1" t="s">
        <v>47</v>
      </c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</row>
    <row r="18" spans="9:30">
      <c r="I18" s="377" t="s">
        <v>513</v>
      </c>
      <c r="P18" s="171"/>
      <c r="Q18" s="171"/>
      <c r="R18" s="171"/>
      <c r="S18" s="171"/>
      <c r="T18" s="171"/>
      <c r="X18" s="171"/>
      <c r="Y18" s="171"/>
      <c r="Z18" s="171"/>
      <c r="AA18" s="171"/>
      <c r="AB18" s="171"/>
      <c r="AC18" s="91"/>
      <c r="AD18" s="91"/>
    </row>
    <row r="19" spans="9:30">
      <c r="I19" s="378" t="s">
        <v>514</v>
      </c>
    </row>
    <row r="20" spans="9:30" s="10" customFormat="1">
      <c r="J20" s="174"/>
      <c r="K20" s="174"/>
      <c r="L20" s="174"/>
      <c r="M20" s="174"/>
      <c r="N20" s="174"/>
      <c r="O20" s="174"/>
      <c r="P20" s="98"/>
      <c r="Q20" s="98"/>
      <c r="R20" s="98"/>
      <c r="S20" s="98"/>
      <c r="T20" s="98"/>
      <c r="U20" s="173"/>
      <c r="V20" s="173"/>
      <c r="W20" s="173"/>
    </row>
    <row r="21" spans="9:30">
      <c r="I21" s="423" t="s">
        <v>7</v>
      </c>
      <c r="J21" s="424" t="s">
        <v>2</v>
      </c>
      <c r="K21" s="424" t="s">
        <v>22</v>
      </c>
      <c r="L21" s="424" t="s">
        <v>25</v>
      </c>
      <c r="M21" s="424" t="s">
        <v>44</v>
      </c>
      <c r="N21" s="424" t="s">
        <v>55</v>
      </c>
      <c r="O21" s="424" t="s">
        <v>70</v>
      </c>
      <c r="P21" s="424" t="s">
        <v>72</v>
      </c>
      <c r="Q21" s="414">
        <v>2005</v>
      </c>
      <c r="R21" s="424" t="s">
        <v>83</v>
      </c>
      <c r="S21" s="414">
        <v>2007</v>
      </c>
      <c r="T21" s="414">
        <v>2008</v>
      </c>
      <c r="U21" s="414">
        <v>2009</v>
      </c>
      <c r="V21" s="414">
        <v>2010</v>
      </c>
      <c r="W21" s="414">
        <v>2011</v>
      </c>
      <c r="X21" s="414">
        <v>2012</v>
      </c>
      <c r="Y21" s="414">
        <v>2013</v>
      </c>
      <c r="Z21" s="420"/>
      <c r="AA21" s="420"/>
    </row>
    <row r="22" spans="9:30">
      <c r="I22" s="413" t="s">
        <v>81</v>
      </c>
      <c r="J22" s="416">
        <v>19</v>
      </c>
      <c r="K22" s="425">
        <v>26</v>
      </c>
      <c r="L22" s="417">
        <v>24</v>
      </c>
      <c r="M22" s="417">
        <v>26</v>
      </c>
      <c r="N22" s="417">
        <v>28</v>
      </c>
      <c r="O22" s="419">
        <v>26</v>
      </c>
      <c r="P22" s="417">
        <v>26</v>
      </c>
      <c r="Q22" s="417">
        <v>26</v>
      </c>
      <c r="R22" s="417">
        <v>30</v>
      </c>
      <c r="S22" s="417">
        <v>32</v>
      </c>
      <c r="T22" s="419">
        <v>37</v>
      </c>
      <c r="U22" s="416">
        <v>39</v>
      </c>
      <c r="V22" s="416">
        <v>39</v>
      </c>
      <c r="W22" s="416">
        <v>40</v>
      </c>
      <c r="X22" s="416">
        <f>[1]RDATOS!B21</f>
        <v>43</v>
      </c>
      <c r="Y22" s="416">
        <v>45</v>
      </c>
      <c r="Z22" s="174"/>
      <c r="AA22" s="174"/>
    </row>
    <row r="23" spans="9:30">
      <c r="I23" s="413" t="s">
        <v>8</v>
      </c>
      <c r="J23" s="416">
        <v>14</v>
      </c>
      <c r="K23" s="425">
        <v>9</v>
      </c>
      <c r="L23" s="417">
        <v>9</v>
      </c>
      <c r="M23" s="417">
        <v>12</v>
      </c>
      <c r="N23" s="417">
        <v>9</v>
      </c>
      <c r="O23" s="419">
        <v>10</v>
      </c>
      <c r="P23" s="417">
        <v>9</v>
      </c>
      <c r="Q23" s="417">
        <v>10</v>
      </c>
      <c r="R23" s="417">
        <v>5</v>
      </c>
      <c r="S23" s="417">
        <v>3</v>
      </c>
      <c r="T23" s="417">
        <v>7</v>
      </c>
      <c r="U23" s="416">
        <v>9</v>
      </c>
      <c r="V23" s="416">
        <v>10</v>
      </c>
      <c r="W23" s="416">
        <v>12</v>
      </c>
      <c r="X23" s="416">
        <f>[1]RDATOS!B22</f>
        <v>9</v>
      </c>
      <c r="Y23" s="416">
        <v>7</v>
      </c>
      <c r="Z23" s="174"/>
      <c r="AA23" s="174"/>
    </row>
    <row r="24" spans="9:30">
      <c r="I24" s="413" t="s">
        <v>9</v>
      </c>
      <c r="J24" s="416">
        <v>0</v>
      </c>
      <c r="K24" s="425">
        <v>0</v>
      </c>
      <c r="L24" s="417">
        <v>0</v>
      </c>
      <c r="M24" s="417">
        <v>2</v>
      </c>
      <c r="N24" s="417">
        <v>0</v>
      </c>
      <c r="O24" s="419">
        <v>0</v>
      </c>
      <c r="P24" s="417">
        <v>0</v>
      </c>
      <c r="Q24" s="417">
        <v>0</v>
      </c>
      <c r="R24" s="417">
        <v>0</v>
      </c>
      <c r="S24" s="417">
        <v>0</v>
      </c>
      <c r="T24" s="417">
        <v>0</v>
      </c>
      <c r="U24" s="416">
        <v>0</v>
      </c>
      <c r="V24" s="416">
        <v>0</v>
      </c>
      <c r="W24" s="416">
        <v>1</v>
      </c>
      <c r="X24" s="416">
        <f>[1]RDATOS!B23</f>
        <v>1</v>
      </c>
      <c r="Y24" s="416">
        <v>0</v>
      </c>
      <c r="Z24" s="174"/>
      <c r="AA24" s="174"/>
    </row>
    <row r="25" spans="9:30">
      <c r="I25" s="413" t="s">
        <v>10</v>
      </c>
      <c r="J25" s="416">
        <v>23</v>
      </c>
      <c r="K25" s="425">
        <v>35</v>
      </c>
      <c r="L25" s="417">
        <v>36</v>
      </c>
      <c r="M25" s="417">
        <v>39</v>
      </c>
      <c r="N25" s="417">
        <v>40</v>
      </c>
      <c r="O25" s="419">
        <v>49</v>
      </c>
      <c r="P25" s="417">
        <v>50</v>
      </c>
      <c r="Q25" s="417">
        <v>50</v>
      </c>
      <c r="R25" s="417">
        <v>54</v>
      </c>
      <c r="S25" s="417">
        <v>62</v>
      </c>
      <c r="T25" s="419">
        <v>66</v>
      </c>
      <c r="U25" s="416">
        <v>69</v>
      </c>
      <c r="V25" s="416">
        <v>71</v>
      </c>
      <c r="W25" s="416">
        <v>69</v>
      </c>
      <c r="X25" s="416">
        <f>[1]RDATOS!B24</f>
        <v>72</v>
      </c>
      <c r="Y25" s="416">
        <v>76</v>
      </c>
      <c r="Z25" s="174"/>
      <c r="AA25" s="174"/>
    </row>
    <row r="26" spans="9:30">
      <c r="I26" s="413" t="s">
        <v>11</v>
      </c>
      <c r="J26" s="416">
        <v>8</v>
      </c>
      <c r="K26" s="425">
        <v>7</v>
      </c>
      <c r="L26" s="417">
        <v>10</v>
      </c>
      <c r="M26" s="417">
        <v>15</v>
      </c>
      <c r="N26" s="417">
        <v>14</v>
      </c>
      <c r="O26" s="419">
        <v>14</v>
      </c>
      <c r="P26" s="417">
        <v>12</v>
      </c>
      <c r="Q26" s="417">
        <v>13</v>
      </c>
      <c r="R26" s="417">
        <v>14</v>
      </c>
      <c r="S26" s="417">
        <v>14</v>
      </c>
      <c r="T26" s="419">
        <v>14</v>
      </c>
      <c r="U26" s="416">
        <v>13</v>
      </c>
      <c r="V26" s="416">
        <v>14</v>
      </c>
      <c r="W26" s="416">
        <v>15</v>
      </c>
      <c r="X26" s="416">
        <f>[1]RDATOS!B25</f>
        <v>14</v>
      </c>
      <c r="Y26" s="416">
        <v>15</v>
      </c>
      <c r="Z26" s="174"/>
      <c r="AA26" s="174"/>
    </row>
    <row r="27" spans="9:30">
      <c r="I27" s="413" t="s">
        <v>21</v>
      </c>
      <c r="J27" s="416">
        <f t="shared" ref="J27:T27" si="2">SUM(J22:J26)</f>
        <v>64</v>
      </c>
      <c r="K27" s="416">
        <f t="shared" si="2"/>
        <v>77</v>
      </c>
      <c r="L27" s="416">
        <f t="shared" si="2"/>
        <v>79</v>
      </c>
      <c r="M27" s="416">
        <f t="shared" si="2"/>
        <v>94</v>
      </c>
      <c r="N27" s="416">
        <f t="shared" si="2"/>
        <v>91</v>
      </c>
      <c r="O27" s="416">
        <f t="shared" si="2"/>
        <v>99</v>
      </c>
      <c r="P27" s="416">
        <f t="shared" si="2"/>
        <v>97</v>
      </c>
      <c r="Q27" s="416">
        <f>SUM(Q22:Q26)</f>
        <v>99</v>
      </c>
      <c r="R27" s="416">
        <f t="shared" si="2"/>
        <v>103</v>
      </c>
      <c r="S27" s="416">
        <f t="shared" si="2"/>
        <v>111</v>
      </c>
      <c r="T27" s="416">
        <f t="shared" si="2"/>
        <v>124</v>
      </c>
      <c r="U27" s="416">
        <f>SUM(U22:U26)</f>
        <v>130</v>
      </c>
      <c r="V27" s="416">
        <f>SUM(V22:V26)</f>
        <v>134</v>
      </c>
      <c r="W27" s="416">
        <f>SUM(W22:W26)</f>
        <v>137</v>
      </c>
      <c r="X27" s="416">
        <f>[1]RDATOS!B26</f>
        <v>139</v>
      </c>
      <c r="Y27" s="416">
        <f>SUM(Y22:Y26)</f>
        <v>143</v>
      </c>
      <c r="Z27" s="174"/>
      <c r="AA27" s="174"/>
    </row>
    <row r="28" spans="9:30">
      <c r="I28" s="413" t="s">
        <v>47</v>
      </c>
      <c r="J28" s="416"/>
      <c r="K28" s="416"/>
      <c r="L28" s="416"/>
      <c r="M28" s="416"/>
      <c r="N28" s="416"/>
      <c r="O28" s="416"/>
      <c r="P28" s="425"/>
      <c r="Q28" s="417"/>
      <c r="R28" s="417"/>
      <c r="S28" s="417"/>
      <c r="T28" s="417"/>
      <c r="U28" s="416"/>
      <c r="V28" s="416"/>
      <c r="W28" s="416"/>
      <c r="X28" s="416"/>
      <c r="Y28" s="416"/>
      <c r="Z28" s="174"/>
      <c r="AA28" s="174"/>
    </row>
    <row r="29" spans="9:30">
      <c r="I29" s="413" t="s">
        <v>43</v>
      </c>
      <c r="J29" s="416">
        <f t="shared" ref="J29:P29" si="3">J22+J23</f>
        <v>33</v>
      </c>
      <c r="K29" s="416">
        <f t="shared" si="3"/>
        <v>35</v>
      </c>
      <c r="L29" s="416">
        <f t="shared" si="3"/>
        <v>33</v>
      </c>
      <c r="M29" s="416">
        <f t="shared" si="3"/>
        <v>38</v>
      </c>
      <c r="N29" s="416">
        <f t="shared" si="3"/>
        <v>37</v>
      </c>
      <c r="O29" s="416">
        <f t="shared" si="3"/>
        <v>36</v>
      </c>
      <c r="P29" s="416">
        <f t="shared" si="3"/>
        <v>35</v>
      </c>
      <c r="Q29" s="417">
        <v>36</v>
      </c>
      <c r="R29" s="417">
        <v>35</v>
      </c>
      <c r="S29" s="417">
        <v>35</v>
      </c>
      <c r="T29" s="417">
        <v>44</v>
      </c>
      <c r="U29" s="416">
        <f>U22+U23</f>
        <v>48</v>
      </c>
      <c r="V29" s="416">
        <f>V22+V23</f>
        <v>49</v>
      </c>
      <c r="W29" s="416">
        <f>W22+W23</f>
        <v>52</v>
      </c>
      <c r="X29" s="416">
        <f>[1]RDATOS!$B$54</f>
        <v>52</v>
      </c>
      <c r="Y29" s="416">
        <v>52</v>
      </c>
      <c r="Z29" s="174"/>
      <c r="AA29" s="174"/>
    </row>
    <row r="30" spans="9:30">
      <c r="I30" s="426" t="s">
        <v>475</v>
      </c>
      <c r="J30" s="416"/>
      <c r="K30" s="416"/>
      <c r="L30" s="416"/>
      <c r="M30" s="416"/>
      <c r="N30" s="416"/>
      <c r="O30" s="416"/>
      <c r="P30" s="416"/>
      <c r="Q30" s="417"/>
      <c r="R30" s="417"/>
      <c r="S30" s="417"/>
      <c r="T30" s="417"/>
      <c r="U30" s="416"/>
      <c r="V30" s="416"/>
      <c r="W30" s="416"/>
      <c r="X30" s="416"/>
      <c r="Y30" s="416"/>
      <c r="Z30" s="174"/>
      <c r="AA30" s="174"/>
    </row>
    <row r="31" spans="9:30">
      <c r="I31" s="426" t="s">
        <v>528</v>
      </c>
      <c r="J31" s="416"/>
      <c r="K31" s="416"/>
      <c r="L31" s="416"/>
      <c r="M31" s="416"/>
      <c r="N31" s="416"/>
      <c r="O31" s="416"/>
      <c r="P31" s="416"/>
      <c r="Q31" s="417"/>
      <c r="R31" s="417"/>
      <c r="S31" s="417"/>
      <c r="T31" s="417"/>
      <c r="U31" s="416"/>
      <c r="V31" s="416"/>
      <c r="W31" s="416"/>
      <c r="X31" s="416"/>
      <c r="Y31" s="416"/>
      <c r="Z31" s="174"/>
      <c r="AA31" s="174"/>
    </row>
    <row r="32" spans="9:30">
      <c r="I32" s="426" t="s">
        <v>529</v>
      </c>
      <c r="J32" s="416"/>
      <c r="K32" s="416"/>
      <c r="L32" s="416"/>
      <c r="M32" s="416"/>
      <c r="N32" s="416"/>
      <c r="O32" s="416"/>
      <c r="P32" s="416"/>
      <c r="Q32" s="417"/>
      <c r="R32" s="417"/>
      <c r="S32" s="417"/>
      <c r="T32" s="417"/>
      <c r="U32" s="416"/>
      <c r="V32" s="416"/>
      <c r="W32" s="416"/>
      <c r="X32" s="416"/>
      <c r="Y32" s="416"/>
      <c r="Z32" s="174"/>
      <c r="AA32" s="174"/>
    </row>
    <row r="33" spans="9:30">
      <c r="I33" s="426" t="s">
        <v>530</v>
      </c>
      <c r="J33" s="416"/>
      <c r="K33" s="416"/>
      <c r="L33" s="416"/>
      <c r="M33" s="416"/>
      <c r="N33" s="416"/>
      <c r="O33" s="416"/>
      <c r="P33" s="416"/>
      <c r="Q33" s="417"/>
      <c r="R33" s="417"/>
      <c r="S33" s="417"/>
      <c r="T33" s="417"/>
      <c r="U33" s="416"/>
      <c r="V33" s="416"/>
      <c r="W33" s="416"/>
      <c r="X33" s="416"/>
      <c r="Y33" s="416"/>
      <c r="Z33" s="174"/>
      <c r="AA33" s="174"/>
    </row>
    <row r="34" spans="9:30" s="10" customFormat="1">
      <c r="I34" s="3"/>
      <c r="J34" s="174"/>
      <c r="K34" s="174"/>
      <c r="L34" s="174"/>
      <c r="M34" s="174"/>
      <c r="N34" s="174"/>
      <c r="O34" s="174"/>
      <c r="P34" s="174"/>
      <c r="Q34" s="98"/>
      <c r="R34" s="98"/>
      <c r="S34" s="98"/>
      <c r="T34" s="98"/>
      <c r="U34" s="174"/>
      <c r="V34" s="174"/>
      <c r="W34" s="174"/>
      <c r="X34" s="174"/>
      <c r="Y34" s="174"/>
      <c r="Z34" s="174"/>
      <c r="AA34" s="174"/>
      <c r="AB34" s="174"/>
    </row>
    <row r="35" spans="9:30" s="10" customFormat="1">
      <c r="J35" s="173"/>
      <c r="K35" s="173"/>
      <c r="L35" s="173"/>
      <c r="M35" s="173"/>
      <c r="N35" s="173"/>
      <c r="O35" s="173"/>
      <c r="P35" s="98"/>
      <c r="Q35" s="98"/>
      <c r="R35" s="98"/>
      <c r="S35" s="98"/>
      <c r="T35" s="98"/>
      <c r="U35" s="98"/>
      <c r="V35" s="98"/>
      <c r="W35" s="98"/>
    </row>
    <row r="36" spans="9:30">
      <c r="I36" s="423" t="s">
        <v>12</v>
      </c>
      <c r="J36" s="414" t="s">
        <v>2</v>
      </c>
      <c r="K36" s="414" t="s">
        <v>22</v>
      </c>
      <c r="L36" s="414" t="s">
        <v>25</v>
      </c>
      <c r="M36" s="414" t="s">
        <v>44</v>
      </c>
      <c r="N36" s="414" t="s">
        <v>55</v>
      </c>
      <c r="O36" s="414" t="s">
        <v>70</v>
      </c>
      <c r="P36" s="414" t="s">
        <v>72</v>
      </c>
      <c r="Q36" s="414">
        <v>2005</v>
      </c>
      <c r="R36" s="414">
        <v>2006</v>
      </c>
      <c r="S36" s="414">
        <v>2007</v>
      </c>
      <c r="T36" s="414">
        <v>2008</v>
      </c>
      <c r="U36" s="414">
        <v>2009</v>
      </c>
      <c r="V36" s="414">
        <v>2010</v>
      </c>
      <c r="W36" s="414">
        <v>2011</v>
      </c>
      <c r="X36" s="414">
        <v>2012</v>
      </c>
      <c r="Y36" s="414">
        <v>2013</v>
      </c>
      <c r="Z36" s="420"/>
      <c r="AA36" s="420"/>
    </row>
    <row r="37" spans="9:30">
      <c r="I37" s="427" t="s">
        <v>6</v>
      </c>
      <c r="J37" s="419">
        <v>32</v>
      </c>
      <c r="K37" s="419">
        <v>33</v>
      </c>
      <c r="L37" s="419">
        <v>32</v>
      </c>
      <c r="M37" s="419">
        <v>37</v>
      </c>
      <c r="N37" s="419">
        <v>37</v>
      </c>
      <c r="O37" s="419">
        <f>36+4</f>
        <v>40</v>
      </c>
      <c r="P37" s="419">
        <v>40</v>
      </c>
      <c r="Q37" s="417">
        <v>42</v>
      </c>
      <c r="R37" s="417">
        <v>45</v>
      </c>
      <c r="S37" s="428">
        <v>46</v>
      </c>
      <c r="T37" s="428">
        <v>54</v>
      </c>
      <c r="U37" s="428">
        <v>59</v>
      </c>
      <c r="V37" s="428">
        <v>57</v>
      </c>
      <c r="W37" s="428">
        <v>61</v>
      </c>
      <c r="X37" s="428">
        <f>[1]RDATOS!B32</f>
        <v>61</v>
      </c>
      <c r="Y37" s="428">
        <v>61</v>
      </c>
      <c r="Z37" s="429"/>
      <c r="AA37" s="429"/>
    </row>
    <row r="38" spans="9:30">
      <c r="I38" s="427" t="s">
        <v>5</v>
      </c>
      <c r="J38" s="419">
        <v>10</v>
      </c>
      <c r="K38" s="419">
        <v>14</v>
      </c>
      <c r="L38" s="419">
        <v>19</v>
      </c>
      <c r="M38" s="419">
        <v>17</v>
      </c>
      <c r="N38" s="419">
        <v>16</v>
      </c>
      <c r="O38" s="419">
        <v>15</v>
      </c>
      <c r="P38" s="419">
        <v>15</v>
      </c>
      <c r="Q38" s="417">
        <v>20</v>
      </c>
      <c r="R38" s="417">
        <v>18</v>
      </c>
      <c r="S38" s="425">
        <v>20</v>
      </c>
      <c r="T38" s="417">
        <v>23</v>
      </c>
      <c r="U38" s="419">
        <v>24</v>
      </c>
      <c r="V38" s="419">
        <v>29</v>
      </c>
      <c r="W38" s="419">
        <v>30</v>
      </c>
      <c r="X38" s="428">
        <v>30</v>
      </c>
      <c r="Y38" s="428">
        <v>32</v>
      </c>
      <c r="Z38" s="429"/>
      <c r="AA38" s="429"/>
    </row>
    <row r="39" spans="9:30">
      <c r="I39" s="427" t="s">
        <v>13</v>
      </c>
      <c r="J39" s="419">
        <v>13</v>
      </c>
      <c r="K39" s="419">
        <v>24</v>
      </c>
      <c r="L39" s="419">
        <v>18</v>
      </c>
      <c r="M39" s="419">
        <v>31</v>
      </c>
      <c r="N39" s="419">
        <v>31</v>
      </c>
      <c r="O39" s="419">
        <v>37</v>
      </c>
      <c r="P39" s="419">
        <v>35</v>
      </c>
      <c r="Q39" s="417">
        <v>31</v>
      </c>
      <c r="R39" s="417">
        <v>34</v>
      </c>
      <c r="S39" s="425">
        <v>38</v>
      </c>
      <c r="T39" s="417">
        <v>39</v>
      </c>
      <c r="U39" s="419">
        <v>41</v>
      </c>
      <c r="V39" s="419">
        <v>41</v>
      </c>
      <c r="W39" s="419">
        <v>38</v>
      </c>
      <c r="X39" s="428">
        <v>40</v>
      </c>
      <c r="Y39" s="428">
        <v>41</v>
      </c>
      <c r="Z39" s="429"/>
      <c r="AA39" s="429"/>
    </row>
    <row r="40" spans="9:30">
      <c r="I40" s="426" t="s">
        <v>515</v>
      </c>
      <c r="J40" s="419">
        <v>12</v>
      </c>
      <c r="K40" s="419">
        <v>8</v>
      </c>
      <c r="L40" s="419">
        <v>12</v>
      </c>
      <c r="M40" s="419">
        <v>9</v>
      </c>
      <c r="N40" s="419">
        <v>9</v>
      </c>
      <c r="O40" s="419">
        <v>7</v>
      </c>
      <c r="P40" s="419">
        <v>7</v>
      </c>
      <c r="Q40" s="417">
        <v>6</v>
      </c>
      <c r="R40" s="417">
        <v>6</v>
      </c>
      <c r="S40" s="419">
        <v>6</v>
      </c>
      <c r="T40" s="419">
        <v>8</v>
      </c>
      <c r="U40" s="419">
        <v>6</v>
      </c>
      <c r="V40" s="419">
        <v>7</v>
      </c>
      <c r="W40" s="419">
        <v>7</v>
      </c>
      <c r="X40" s="428">
        <v>8</v>
      </c>
      <c r="Y40" s="428">
        <v>9</v>
      </c>
      <c r="Z40" s="429"/>
      <c r="AA40" s="429"/>
      <c r="AB40" s="9"/>
    </row>
    <row r="41" spans="9:30">
      <c r="I41" s="427" t="s">
        <v>220</v>
      </c>
      <c r="J41" s="419">
        <f t="shared" ref="J41:P41" si="4">SUM(J37:J40)</f>
        <v>67</v>
      </c>
      <c r="K41" s="419">
        <f t="shared" si="4"/>
        <v>79</v>
      </c>
      <c r="L41" s="419">
        <f t="shared" si="4"/>
        <v>81</v>
      </c>
      <c r="M41" s="419">
        <f t="shared" si="4"/>
        <v>94</v>
      </c>
      <c r="N41" s="419">
        <f t="shared" si="4"/>
        <v>93</v>
      </c>
      <c r="O41" s="419">
        <f t="shared" si="4"/>
        <v>99</v>
      </c>
      <c r="P41" s="419">
        <f t="shared" si="4"/>
        <v>97</v>
      </c>
      <c r="Q41" s="419">
        <f t="shared" ref="Q41:W41" si="5">SUM(Q37:Q40)</f>
        <v>99</v>
      </c>
      <c r="R41" s="419">
        <f t="shared" si="5"/>
        <v>103</v>
      </c>
      <c r="S41" s="428">
        <f t="shared" si="5"/>
        <v>110</v>
      </c>
      <c r="T41" s="428">
        <f t="shared" si="5"/>
        <v>124</v>
      </c>
      <c r="U41" s="428">
        <f t="shared" si="5"/>
        <v>130</v>
      </c>
      <c r="V41" s="428">
        <f t="shared" si="5"/>
        <v>134</v>
      </c>
      <c r="W41" s="428">
        <f t="shared" si="5"/>
        <v>136</v>
      </c>
      <c r="X41" s="428">
        <f>SUM(X37:X40)</f>
        <v>139</v>
      </c>
      <c r="Y41" s="428">
        <f>SUM(Y37:Y40)</f>
        <v>143</v>
      </c>
      <c r="Z41" s="429"/>
      <c r="AA41" s="429"/>
      <c r="AB41" s="8"/>
      <c r="AC41" s="8"/>
      <c r="AD41" s="8"/>
    </row>
    <row r="42" spans="9:30" s="10" customFormat="1">
      <c r="I42" s="3"/>
      <c r="J42" s="174"/>
      <c r="K42" s="174"/>
      <c r="L42" s="174"/>
      <c r="M42" s="174"/>
      <c r="N42" s="174"/>
      <c r="O42" s="174"/>
      <c r="P42" s="174"/>
      <c r="Q42" s="98"/>
      <c r="R42" s="98"/>
      <c r="S42" s="98"/>
      <c r="T42" s="98"/>
      <c r="U42" s="174"/>
      <c r="V42" s="174"/>
      <c r="W42" s="174"/>
      <c r="X42" s="174"/>
      <c r="Y42" s="174"/>
      <c r="Z42" s="174"/>
      <c r="AA42" s="174"/>
      <c r="AB42" s="174"/>
    </row>
    <row r="43" spans="9:30">
      <c r="I43" s="423" t="s">
        <v>531</v>
      </c>
      <c r="J43" s="419"/>
      <c r="K43" s="419"/>
      <c r="L43" s="419"/>
      <c r="M43" s="419"/>
      <c r="N43" s="419"/>
      <c r="O43" s="419"/>
      <c r="P43" s="419"/>
      <c r="Q43" s="419"/>
      <c r="R43" s="419"/>
      <c r="S43" s="428"/>
      <c r="T43" s="428"/>
      <c r="U43" s="428"/>
      <c r="V43" s="428"/>
      <c r="W43" s="428"/>
      <c r="X43" s="428"/>
      <c r="Y43" s="428"/>
      <c r="Z43" s="429"/>
      <c r="AA43" s="429"/>
      <c r="AB43" s="8"/>
      <c r="AC43" s="8"/>
      <c r="AD43" s="8"/>
    </row>
    <row r="44" spans="9:30" ht="12" customHeight="1">
      <c r="I44" s="427" t="s">
        <v>43</v>
      </c>
      <c r="J44" s="419"/>
      <c r="K44" s="419"/>
      <c r="L44" s="419"/>
      <c r="M44" s="419"/>
      <c r="N44" s="419"/>
      <c r="O44" s="419"/>
      <c r="P44" s="419"/>
      <c r="Q44" s="419"/>
      <c r="R44" s="419"/>
      <c r="S44" s="428"/>
      <c r="T44" s="428"/>
      <c r="U44" s="428"/>
      <c r="V44" s="428"/>
      <c r="W44" s="428"/>
      <c r="X44" s="428"/>
      <c r="Y44" s="428">
        <v>52</v>
      </c>
      <c r="Z44" s="429"/>
      <c r="AA44" s="429"/>
      <c r="AB44" s="8"/>
      <c r="AC44" s="8"/>
      <c r="AD44" s="8"/>
    </row>
    <row r="45" spans="9:30" ht="12" customHeight="1">
      <c r="I45" s="427" t="s">
        <v>532</v>
      </c>
      <c r="J45" s="419"/>
      <c r="K45" s="419"/>
      <c r="L45" s="419"/>
      <c r="M45" s="419"/>
      <c r="N45" s="419"/>
      <c r="O45" s="419"/>
      <c r="P45" s="419"/>
      <c r="Q45" s="419"/>
      <c r="R45" s="419"/>
      <c r="S45" s="428"/>
      <c r="T45" s="428"/>
      <c r="U45" s="428"/>
      <c r="V45" s="428"/>
      <c r="W45" s="428"/>
      <c r="X45" s="428"/>
      <c r="Y45" s="428">
        <v>141</v>
      </c>
      <c r="Z45" s="429"/>
      <c r="AA45" s="429"/>
      <c r="AB45" s="8"/>
      <c r="AC45" s="8"/>
      <c r="AD45" s="8"/>
    </row>
    <row r="46" spans="9:30" ht="12" customHeight="1">
      <c r="I46" s="427" t="s">
        <v>533</v>
      </c>
      <c r="J46" s="419"/>
      <c r="K46" s="419"/>
      <c r="L46" s="419"/>
      <c r="M46" s="419"/>
      <c r="N46" s="419"/>
      <c r="O46" s="419"/>
      <c r="P46" s="419"/>
      <c r="Q46" s="419"/>
      <c r="R46" s="419"/>
      <c r="S46" s="428"/>
      <c r="T46" s="428"/>
      <c r="U46" s="428"/>
      <c r="V46" s="428"/>
      <c r="W46" s="428"/>
      <c r="X46" s="428"/>
      <c r="Y46" s="442">
        <f>Y45/Y44</f>
        <v>2.7115384615384617</v>
      </c>
      <c r="Z46" s="429"/>
      <c r="AA46" s="429"/>
      <c r="AB46" s="8"/>
      <c r="AC46" s="8"/>
      <c r="AD46" s="8"/>
    </row>
    <row r="47" spans="9:30" s="10" customFormat="1">
      <c r="I47" s="3"/>
      <c r="J47" s="174"/>
      <c r="K47" s="174"/>
      <c r="L47" s="174"/>
      <c r="M47" s="174"/>
      <c r="N47" s="174"/>
      <c r="O47" s="174"/>
      <c r="P47" s="174"/>
      <c r="Q47" s="98"/>
      <c r="R47" s="98"/>
      <c r="S47" s="98"/>
      <c r="T47" s="98"/>
      <c r="U47" s="174"/>
      <c r="V47" s="174"/>
      <c r="W47" s="174"/>
      <c r="AA47" s="14"/>
    </row>
    <row r="48" spans="9:30" s="10" customFormat="1">
      <c r="J48" s="173"/>
      <c r="K48" s="173"/>
      <c r="L48" s="173"/>
      <c r="M48" s="173"/>
      <c r="N48" s="173"/>
      <c r="O48" s="173"/>
      <c r="P48" s="98"/>
      <c r="Q48" s="98"/>
      <c r="R48" s="98"/>
      <c r="S48" s="383"/>
      <c r="T48" s="383"/>
      <c r="U48" s="383"/>
      <c r="V48" s="383"/>
      <c r="W48" s="383"/>
      <c r="X48" s="384"/>
      <c r="Y48" s="384"/>
      <c r="Z48" s="384"/>
      <c r="AA48" s="384"/>
      <c r="AB48" s="384"/>
      <c r="AC48" s="384"/>
      <c r="AD48" s="384"/>
    </row>
    <row r="49" spans="9:30">
      <c r="I49" s="423" t="s">
        <v>33</v>
      </c>
      <c r="J49" s="424" t="s">
        <v>2</v>
      </c>
      <c r="K49" s="424" t="s">
        <v>22</v>
      </c>
      <c r="L49" s="424" t="s">
        <v>25</v>
      </c>
      <c r="M49" s="424" t="s">
        <v>44</v>
      </c>
      <c r="N49" s="424" t="s">
        <v>55</v>
      </c>
      <c r="O49" s="424" t="s">
        <v>70</v>
      </c>
      <c r="P49" s="424" t="s">
        <v>72</v>
      </c>
      <c r="Q49" s="430">
        <v>2005</v>
      </c>
      <c r="R49" s="424">
        <v>2006</v>
      </c>
      <c r="S49" s="414">
        <v>2007</v>
      </c>
      <c r="T49" s="424">
        <v>2008</v>
      </c>
      <c r="U49" s="414">
        <v>2009</v>
      </c>
      <c r="V49" s="414">
        <v>2010</v>
      </c>
      <c r="W49" s="414">
        <v>2011</v>
      </c>
      <c r="X49" s="414">
        <v>2012</v>
      </c>
      <c r="Y49" s="414">
        <v>2013</v>
      </c>
      <c r="Z49" s="420"/>
      <c r="AA49" s="420"/>
      <c r="AB49" s="9"/>
      <c r="AC49" s="9"/>
    </row>
    <row r="50" spans="9:30">
      <c r="I50" s="413" t="s">
        <v>33</v>
      </c>
      <c r="J50" s="416">
        <v>20</v>
      </c>
      <c r="K50" s="416">
        <v>22</v>
      </c>
      <c r="L50" s="416">
        <v>20</v>
      </c>
      <c r="M50" s="416">
        <v>21</v>
      </c>
      <c r="N50" s="416">
        <v>25</v>
      </c>
      <c r="O50" s="419">
        <v>29</v>
      </c>
      <c r="P50" s="419">
        <v>34</v>
      </c>
      <c r="Q50" s="417">
        <v>36</v>
      </c>
      <c r="R50" s="417">
        <v>35</v>
      </c>
      <c r="S50" s="417">
        <v>34</v>
      </c>
      <c r="T50" s="419">
        <v>43</v>
      </c>
      <c r="U50" s="419">
        <v>46</v>
      </c>
      <c r="V50" s="419">
        <v>49</v>
      </c>
      <c r="W50" s="419">
        <v>49</v>
      </c>
      <c r="X50" s="431">
        <f>[1]RDATOS!B40</f>
        <v>49</v>
      </c>
      <c r="Y50" s="419">
        <v>52</v>
      </c>
      <c r="Z50" s="173"/>
      <c r="AA50" s="173"/>
      <c r="AB50" s="9"/>
      <c r="AC50" s="9"/>
      <c r="AD50" s="9"/>
    </row>
    <row r="51" spans="9:30">
      <c r="I51" s="413" t="s">
        <v>63</v>
      </c>
      <c r="J51" s="416">
        <f t="shared" ref="J51:O51" si="6">J29</f>
        <v>33</v>
      </c>
      <c r="K51" s="416">
        <f t="shared" si="6"/>
        <v>35</v>
      </c>
      <c r="L51" s="416">
        <f t="shared" si="6"/>
        <v>33</v>
      </c>
      <c r="M51" s="416">
        <f t="shared" si="6"/>
        <v>38</v>
      </c>
      <c r="N51" s="416">
        <f t="shared" si="6"/>
        <v>37</v>
      </c>
      <c r="O51" s="416">
        <f t="shared" si="6"/>
        <v>36</v>
      </c>
      <c r="P51" s="417">
        <v>35</v>
      </c>
      <c r="Q51" s="417">
        <v>36</v>
      </c>
      <c r="R51" s="417">
        <v>35</v>
      </c>
      <c r="S51" s="417">
        <v>35</v>
      </c>
      <c r="T51" s="417">
        <v>44</v>
      </c>
      <c r="U51" s="419">
        <v>48</v>
      </c>
      <c r="V51" s="419">
        <v>49</v>
      </c>
      <c r="W51" s="419">
        <f>W29</f>
        <v>52</v>
      </c>
      <c r="X51" s="431">
        <f>[1]RDATOS!B41</f>
        <v>52</v>
      </c>
      <c r="Y51" s="419">
        <v>52</v>
      </c>
      <c r="Z51" s="173"/>
      <c r="AA51" s="173"/>
      <c r="AB51" s="11"/>
      <c r="AC51" s="11"/>
      <c r="AD51" s="11"/>
    </row>
    <row r="52" spans="9:30">
      <c r="I52" s="426" t="s">
        <v>115</v>
      </c>
      <c r="J52" s="432">
        <f>J50/J51</f>
        <v>0.60606060606060608</v>
      </c>
      <c r="K52" s="432">
        <f t="shared" ref="K52:T52" si="7">K50/K51</f>
        <v>0.62857142857142856</v>
      </c>
      <c r="L52" s="432">
        <f t="shared" si="7"/>
        <v>0.60606060606060608</v>
      </c>
      <c r="M52" s="432">
        <f t="shared" si="7"/>
        <v>0.55263157894736847</v>
      </c>
      <c r="N52" s="432">
        <f t="shared" si="7"/>
        <v>0.67567567567567566</v>
      </c>
      <c r="O52" s="432">
        <f t="shared" si="7"/>
        <v>0.80555555555555558</v>
      </c>
      <c r="P52" s="432">
        <f t="shared" si="7"/>
        <v>0.97142857142857142</v>
      </c>
      <c r="Q52" s="432">
        <f t="shared" si="7"/>
        <v>1</v>
      </c>
      <c r="R52" s="432">
        <f t="shared" si="7"/>
        <v>1</v>
      </c>
      <c r="S52" s="432">
        <f t="shared" si="7"/>
        <v>0.97142857142857142</v>
      </c>
      <c r="T52" s="432">
        <f t="shared" si="7"/>
        <v>0.97727272727272729</v>
      </c>
      <c r="U52" s="432">
        <f>U50/U51</f>
        <v>0.95833333333333337</v>
      </c>
      <c r="V52" s="432">
        <f>V50/V51</f>
        <v>1</v>
      </c>
      <c r="W52" s="432">
        <f>W50/W51</f>
        <v>0.94230769230769229</v>
      </c>
      <c r="X52" s="433">
        <f>[1]RDATOS!B42</f>
        <v>0.94230769230769229</v>
      </c>
      <c r="Y52" s="432">
        <v>1</v>
      </c>
      <c r="Z52" s="434"/>
      <c r="AA52" s="434"/>
    </row>
    <row r="53" spans="9:30">
      <c r="I53" s="1"/>
      <c r="J53" s="163"/>
      <c r="K53" s="163"/>
      <c r="L53" s="163"/>
      <c r="M53" s="163"/>
      <c r="N53" s="163"/>
      <c r="S53" s="98"/>
      <c r="T53" s="98"/>
      <c r="U53" s="98"/>
      <c r="V53" s="173"/>
      <c r="W53" s="173"/>
      <c r="X53" s="140"/>
    </row>
    <row r="54" spans="9:30" s="10" customFormat="1">
      <c r="J54" s="173"/>
      <c r="K54" s="173"/>
      <c r="L54" s="173"/>
      <c r="M54" s="173"/>
      <c r="N54" s="173"/>
      <c r="O54" s="173"/>
      <c r="P54" s="98"/>
      <c r="Q54" s="98"/>
      <c r="R54" s="98"/>
      <c r="S54" s="98"/>
      <c r="T54" s="98"/>
      <c r="U54" s="98"/>
      <c r="V54" s="173"/>
      <c r="W54" s="173"/>
      <c r="X54" s="7"/>
      <c r="Y54" s="7"/>
      <c r="Z54" s="7"/>
      <c r="AA54" s="7"/>
      <c r="AB54" s="14"/>
    </row>
    <row r="55" spans="9:30" ht="12.75" customHeight="1">
      <c r="I55" s="423" t="s">
        <v>75</v>
      </c>
      <c r="J55" s="424" t="s">
        <v>2</v>
      </c>
      <c r="K55" s="424" t="s">
        <v>22</v>
      </c>
      <c r="L55" s="430" t="s">
        <v>25</v>
      </c>
      <c r="M55" s="430" t="s">
        <v>44</v>
      </c>
      <c r="N55" s="430" t="s">
        <v>55</v>
      </c>
      <c r="O55" s="430" t="s">
        <v>70</v>
      </c>
      <c r="P55" s="430" t="s">
        <v>72</v>
      </c>
      <c r="Q55" s="430">
        <v>2005</v>
      </c>
      <c r="R55" s="430">
        <v>2006</v>
      </c>
      <c r="S55" s="430">
        <v>2007</v>
      </c>
      <c r="T55" s="430">
        <v>2008</v>
      </c>
      <c r="U55" s="430">
        <v>2009</v>
      </c>
      <c r="V55" s="430">
        <v>2010</v>
      </c>
      <c r="W55" s="430">
        <v>2011</v>
      </c>
      <c r="X55" s="414">
        <v>2012</v>
      </c>
      <c r="Y55" s="414">
        <v>2013</v>
      </c>
      <c r="Z55" s="420"/>
      <c r="AA55" s="420"/>
    </row>
    <row r="56" spans="9:30">
      <c r="I56" s="427" t="s">
        <v>58</v>
      </c>
      <c r="J56" s="425">
        <v>1</v>
      </c>
      <c r="K56" s="419">
        <v>1</v>
      </c>
      <c r="L56" s="417">
        <v>1</v>
      </c>
      <c r="M56" s="417">
        <v>1</v>
      </c>
      <c r="N56" s="417">
        <v>1</v>
      </c>
      <c r="O56" s="417">
        <v>1</v>
      </c>
      <c r="P56" s="417">
        <v>1</v>
      </c>
      <c r="Q56" s="417">
        <v>3</v>
      </c>
      <c r="R56" s="417">
        <v>3</v>
      </c>
      <c r="S56" s="435">
        <v>2</v>
      </c>
      <c r="T56" s="435">
        <v>4</v>
      </c>
      <c r="U56" s="435">
        <v>6</v>
      </c>
      <c r="V56" s="419">
        <v>6</v>
      </c>
      <c r="W56" s="419">
        <v>6</v>
      </c>
      <c r="X56" s="419">
        <f>[1]RDATOS!B46</f>
        <v>6</v>
      </c>
      <c r="Y56" s="419">
        <v>6</v>
      </c>
      <c r="Z56" s="173"/>
      <c r="AA56" s="173"/>
      <c r="AB56" s="2"/>
    </row>
    <row r="57" spans="9:30">
      <c r="I57" s="427" t="s">
        <v>57</v>
      </c>
      <c r="J57" s="425">
        <v>1</v>
      </c>
      <c r="K57" s="419">
        <v>1</v>
      </c>
      <c r="L57" s="417">
        <v>3</v>
      </c>
      <c r="M57" s="417">
        <v>4</v>
      </c>
      <c r="N57" s="417">
        <v>5</v>
      </c>
      <c r="O57" s="417">
        <v>4</v>
      </c>
      <c r="P57" s="417">
        <v>5</v>
      </c>
      <c r="Q57" s="417">
        <v>7</v>
      </c>
      <c r="R57" s="417">
        <v>7</v>
      </c>
      <c r="S57" s="435">
        <v>10</v>
      </c>
      <c r="T57" s="435">
        <v>8</v>
      </c>
      <c r="U57" s="435">
        <v>7</v>
      </c>
      <c r="V57" s="419">
        <v>9</v>
      </c>
      <c r="W57" s="419">
        <v>11</v>
      </c>
      <c r="X57" s="419">
        <f>[1]RDATOS!B47</f>
        <v>10</v>
      </c>
      <c r="Y57" s="419">
        <v>16</v>
      </c>
      <c r="Z57" s="173"/>
      <c r="AA57" s="173"/>
      <c r="AB57" s="2"/>
    </row>
    <row r="58" spans="9:30">
      <c r="I58" s="427" t="s">
        <v>56</v>
      </c>
      <c r="J58" s="425">
        <v>7</v>
      </c>
      <c r="K58" s="419">
        <v>10</v>
      </c>
      <c r="L58" s="417">
        <v>10</v>
      </c>
      <c r="M58" s="417">
        <v>12</v>
      </c>
      <c r="N58" s="417">
        <v>14</v>
      </c>
      <c r="O58" s="417">
        <v>19</v>
      </c>
      <c r="P58" s="417">
        <v>22</v>
      </c>
      <c r="Q58" s="417">
        <v>19</v>
      </c>
      <c r="R58" s="417">
        <v>21</v>
      </c>
      <c r="S58" s="435">
        <v>19</v>
      </c>
      <c r="T58" s="435">
        <v>28</v>
      </c>
      <c r="U58" s="435">
        <v>28</v>
      </c>
      <c r="V58" s="419">
        <v>29</v>
      </c>
      <c r="W58" s="419">
        <v>27</v>
      </c>
      <c r="X58" s="419">
        <f>[1]RDATOS!B48</f>
        <v>29</v>
      </c>
      <c r="Y58" s="419">
        <v>26</v>
      </c>
      <c r="Z58" s="434"/>
      <c r="AA58" s="434"/>
    </row>
    <row r="59" spans="9:30">
      <c r="I59" s="427" t="s">
        <v>46</v>
      </c>
      <c r="J59" s="425">
        <v>8</v>
      </c>
      <c r="K59" s="419">
        <v>8</v>
      </c>
      <c r="L59" s="417">
        <v>6</v>
      </c>
      <c r="M59" s="417">
        <v>4</v>
      </c>
      <c r="N59" s="417">
        <v>5</v>
      </c>
      <c r="O59" s="417">
        <v>5</v>
      </c>
      <c r="P59" s="436">
        <v>6</v>
      </c>
      <c r="Q59" s="436">
        <v>7</v>
      </c>
      <c r="R59" s="417">
        <v>4</v>
      </c>
      <c r="S59" s="435">
        <v>3</v>
      </c>
      <c r="T59" s="435">
        <v>3</v>
      </c>
      <c r="U59" s="435">
        <v>5</v>
      </c>
      <c r="V59" s="419">
        <v>5</v>
      </c>
      <c r="W59" s="419">
        <v>5</v>
      </c>
      <c r="X59" s="419">
        <f>[1]RDATOS!B49</f>
        <v>4</v>
      </c>
      <c r="Y59" s="419">
        <v>4</v>
      </c>
      <c r="Z59" s="434"/>
      <c r="AA59" s="434"/>
      <c r="AB59" s="2"/>
    </row>
    <row r="60" spans="9:30">
      <c r="I60" s="427" t="s">
        <v>45</v>
      </c>
      <c r="J60" s="430">
        <f t="shared" ref="J60:P60" si="8">SUM(J56:J59)</f>
        <v>17</v>
      </c>
      <c r="K60" s="430">
        <f t="shared" si="8"/>
        <v>20</v>
      </c>
      <c r="L60" s="430">
        <f t="shared" si="8"/>
        <v>20</v>
      </c>
      <c r="M60" s="430">
        <f t="shared" si="8"/>
        <v>21</v>
      </c>
      <c r="N60" s="430">
        <f t="shared" si="8"/>
        <v>25</v>
      </c>
      <c r="O60" s="430">
        <f t="shared" si="8"/>
        <v>29</v>
      </c>
      <c r="P60" s="430">
        <f t="shared" si="8"/>
        <v>34</v>
      </c>
      <c r="Q60" s="430">
        <f t="shared" ref="Q60:W60" si="9">SUM(Q56:Q59)</f>
        <v>36</v>
      </c>
      <c r="R60" s="430">
        <f t="shared" si="9"/>
        <v>35</v>
      </c>
      <c r="S60" s="430">
        <f t="shared" si="9"/>
        <v>34</v>
      </c>
      <c r="T60" s="430">
        <f t="shared" si="9"/>
        <v>43</v>
      </c>
      <c r="U60" s="437">
        <f t="shared" si="9"/>
        <v>46</v>
      </c>
      <c r="V60" s="419">
        <f t="shared" si="9"/>
        <v>49</v>
      </c>
      <c r="W60" s="419">
        <f t="shared" si="9"/>
        <v>49</v>
      </c>
      <c r="X60" s="419">
        <f>[1]RDATOS!B50</f>
        <v>49</v>
      </c>
      <c r="Y60" s="419">
        <f>SUM(Y56:Y59)</f>
        <v>52</v>
      </c>
      <c r="Z60" s="434"/>
      <c r="AA60" s="434"/>
    </row>
    <row r="61" spans="9:30" s="10" customFormat="1">
      <c r="I61" s="10" t="s">
        <v>345</v>
      </c>
      <c r="J61" s="98"/>
      <c r="K61" s="98"/>
      <c r="L61" s="98"/>
      <c r="M61" s="98"/>
      <c r="N61" s="98"/>
      <c r="O61" s="173"/>
      <c r="P61" s="379"/>
      <c r="Q61" s="243"/>
      <c r="R61" s="243"/>
      <c r="S61" s="243"/>
      <c r="T61" s="243"/>
      <c r="U61" s="98"/>
      <c r="V61" s="173"/>
      <c r="W61" s="173"/>
      <c r="X61" s="14"/>
      <c r="Y61" s="14"/>
      <c r="Z61" s="14"/>
    </row>
    <row r="62" spans="9:30" s="10" customFormat="1">
      <c r="J62" s="98"/>
      <c r="K62" s="98"/>
      <c r="L62" s="98"/>
      <c r="M62" s="98"/>
      <c r="N62" s="98"/>
      <c r="O62" s="173"/>
      <c r="P62" s="379"/>
      <c r="Q62" s="243"/>
      <c r="R62" s="243"/>
      <c r="S62" s="243"/>
      <c r="T62" s="243"/>
      <c r="U62" s="98"/>
      <c r="V62" s="173"/>
      <c r="W62" s="173"/>
      <c r="X62" s="14"/>
      <c r="Y62" s="14"/>
      <c r="Z62" s="14"/>
    </row>
    <row r="63" spans="9:30" s="10" customFormat="1">
      <c r="I63" s="423" t="s">
        <v>534</v>
      </c>
      <c r="J63" s="419"/>
      <c r="K63" s="419"/>
      <c r="L63" s="419"/>
      <c r="M63" s="419"/>
      <c r="N63" s="419"/>
      <c r="O63" s="419"/>
      <c r="P63" s="430">
        <v>2004</v>
      </c>
      <c r="Q63" s="430"/>
      <c r="R63" s="430"/>
      <c r="S63" s="430"/>
      <c r="T63" s="430"/>
      <c r="U63" s="430">
        <v>2009</v>
      </c>
      <c r="V63" s="430"/>
      <c r="W63" s="430"/>
      <c r="X63" s="430"/>
      <c r="Y63" s="430">
        <v>2013</v>
      </c>
      <c r="Z63" s="384"/>
      <c r="AA63" s="384"/>
      <c r="AB63" s="384"/>
      <c r="AC63" s="384"/>
      <c r="AD63" s="384"/>
    </row>
    <row r="64" spans="9:30">
      <c r="I64" s="413" t="s">
        <v>58</v>
      </c>
      <c r="J64" s="416"/>
      <c r="K64" s="416"/>
      <c r="L64" s="416"/>
      <c r="M64" s="416"/>
      <c r="N64" s="416"/>
      <c r="O64" s="419"/>
      <c r="P64" s="419">
        <v>0</v>
      </c>
      <c r="Q64" s="417"/>
      <c r="R64" s="417"/>
      <c r="S64" s="417"/>
      <c r="T64" s="419"/>
      <c r="U64" s="419">
        <v>0</v>
      </c>
      <c r="V64" s="419"/>
      <c r="W64" s="419"/>
      <c r="X64" s="431"/>
      <c r="Y64" s="419">
        <v>0</v>
      </c>
      <c r="Z64" s="173"/>
      <c r="AA64" s="173"/>
      <c r="AB64" s="9"/>
      <c r="AC64" s="9"/>
      <c r="AD64" s="9"/>
    </row>
    <row r="65" spans="9:30">
      <c r="I65" s="413" t="s">
        <v>535</v>
      </c>
      <c r="J65" s="416"/>
      <c r="K65" s="416"/>
      <c r="L65" s="416"/>
      <c r="M65" s="416"/>
      <c r="N65" s="416"/>
      <c r="O65" s="419"/>
      <c r="P65" s="419">
        <v>0</v>
      </c>
      <c r="Q65" s="417"/>
      <c r="R65" s="417"/>
      <c r="S65" s="417"/>
      <c r="T65" s="419"/>
      <c r="U65" s="419">
        <v>1</v>
      </c>
      <c r="V65" s="419"/>
      <c r="W65" s="419"/>
      <c r="X65" s="431"/>
      <c r="Y65" s="419">
        <v>0</v>
      </c>
      <c r="Z65" s="173"/>
      <c r="AA65" s="173"/>
      <c r="AB65" s="9"/>
      <c r="AC65" s="9"/>
      <c r="AD65" s="9"/>
    </row>
    <row r="66" spans="9:30">
      <c r="I66" s="413" t="s">
        <v>56</v>
      </c>
      <c r="J66" s="416"/>
      <c r="K66" s="416"/>
      <c r="L66" s="416"/>
      <c r="M66" s="416"/>
      <c r="N66" s="416"/>
      <c r="O66" s="419"/>
      <c r="P66" s="419">
        <v>0</v>
      </c>
      <c r="Q66" s="417"/>
      <c r="R66" s="417"/>
      <c r="S66" s="417"/>
      <c r="T66" s="419"/>
      <c r="U66" s="419">
        <v>5</v>
      </c>
      <c r="V66" s="419"/>
      <c r="W66" s="419"/>
      <c r="X66" s="431"/>
      <c r="Y66" s="419">
        <v>8</v>
      </c>
      <c r="Z66" s="173"/>
      <c r="AA66" s="173"/>
      <c r="AB66" s="9"/>
      <c r="AC66" s="9"/>
      <c r="AD66" s="9"/>
    </row>
    <row r="67" spans="9:30">
      <c r="I67" s="413" t="s">
        <v>536</v>
      </c>
      <c r="J67" s="416"/>
      <c r="K67" s="416"/>
      <c r="L67" s="416"/>
      <c r="M67" s="416"/>
      <c r="N67" s="416"/>
      <c r="O67" s="419"/>
      <c r="P67" s="419">
        <v>4</v>
      </c>
      <c r="Q67" s="417"/>
      <c r="R67" s="417"/>
      <c r="S67" s="417"/>
      <c r="T67" s="419"/>
      <c r="U67" s="419">
        <v>4</v>
      </c>
      <c r="V67" s="419"/>
      <c r="W67" s="419"/>
      <c r="X67" s="431"/>
      <c r="Y67" s="419">
        <v>0</v>
      </c>
      <c r="Z67" s="173"/>
      <c r="AA67" s="173"/>
      <c r="AB67" s="9"/>
      <c r="AC67" s="9"/>
      <c r="AD67" s="9"/>
    </row>
    <row r="68" spans="9:30">
      <c r="I68" s="413" t="s">
        <v>21</v>
      </c>
      <c r="J68" s="416"/>
      <c r="K68" s="416"/>
      <c r="L68" s="416"/>
      <c r="M68" s="416"/>
      <c r="N68" s="416"/>
      <c r="O68" s="419"/>
      <c r="P68" s="419">
        <f>SUM(P64:P67)</f>
        <v>4</v>
      </c>
      <c r="Q68" s="419"/>
      <c r="R68" s="419"/>
      <c r="S68" s="419"/>
      <c r="T68" s="419"/>
      <c r="U68" s="419">
        <f t="shared" ref="U68" si="10">SUM(U64:U67)</f>
        <v>10</v>
      </c>
      <c r="V68" s="419"/>
      <c r="W68" s="419"/>
      <c r="X68" s="431"/>
      <c r="Y68" s="419">
        <v>8</v>
      </c>
      <c r="Z68" s="173"/>
      <c r="AA68" s="173"/>
      <c r="AB68" s="9"/>
      <c r="AC68" s="9"/>
      <c r="AD68" s="9"/>
    </row>
    <row r="69" spans="9:30">
      <c r="I69" s="413" t="s">
        <v>537</v>
      </c>
      <c r="J69" s="416"/>
      <c r="K69" s="416"/>
      <c r="L69" s="416"/>
      <c r="M69" s="416"/>
      <c r="N69" s="416"/>
      <c r="O69" s="419"/>
      <c r="P69" s="419"/>
      <c r="Q69" s="417"/>
      <c r="R69" s="417"/>
      <c r="S69" s="417"/>
      <c r="T69" s="419"/>
      <c r="U69" s="419"/>
      <c r="V69" s="419"/>
      <c r="W69" s="419"/>
      <c r="X69" s="431"/>
      <c r="Y69" s="419"/>
      <c r="Z69" s="173"/>
      <c r="AA69" s="173"/>
      <c r="AB69" s="9"/>
      <c r="AC69" s="9"/>
      <c r="AD69" s="9"/>
    </row>
    <row r="70" spans="9:30" s="10" customFormat="1">
      <c r="J70" s="98"/>
      <c r="K70" s="98"/>
      <c r="L70" s="98"/>
      <c r="M70" s="98"/>
      <c r="N70" s="98"/>
      <c r="O70" s="173"/>
      <c r="P70" s="379"/>
      <c r="Q70" s="243"/>
      <c r="R70" s="243"/>
      <c r="S70" s="243"/>
      <c r="T70" s="243"/>
      <c r="U70" s="98"/>
      <c r="V70" s="173"/>
      <c r="W70" s="173"/>
      <c r="X70" s="14"/>
      <c r="Y70" s="14"/>
      <c r="Z70" s="14"/>
    </row>
    <row r="71" spans="9:30" s="10" customFormat="1">
      <c r="J71" s="174"/>
      <c r="K71" s="174"/>
      <c r="L71" s="174"/>
      <c r="M71" s="174"/>
      <c r="N71" s="174"/>
      <c r="O71" s="174"/>
      <c r="P71" s="178"/>
      <c r="Q71" s="98"/>
      <c r="R71" s="98"/>
      <c r="S71" s="98"/>
      <c r="T71" s="98"/>
      <c r="U71" s="173"/>
      <c r="V71" s="173"/>
      <c r="W71" s="173"/>
    </row>
    <row r="72" spans="9:30">
      <c r="I72" s="423" t="s">
        <v>7</v>
      </c>
      <c r="J72" s="414" t="s">
        <v>2</v>
      </c>
      <c r="K72" s="414" t="s">
        <v>22</v>
      </c>
      <c r="L72" s="414" t="s">
        <v>25</v>
      </c>
      <c r="M72" s="414" t="s">
        <v>44</v>
      </c>
      <c r="N72" s="414" t="s">
        <v>55</v>
      </c>
      <c r="O72" s="414" t="s">
        <v>70</v>
      </c>
      <c r="P72" s="414" t="s">
        <v>72</v>
      </c>
      <c r="Q72" s="414">
        <v>2005</v>
      </c>
      <c r="R72" s="414">
        <v>2006</v>
      </c>
      <c r="S72" s="414">
        <v>2007</v>
      </c>
      <c r="T72" s="414">
        <v>2008</v>
      </c>
      <c r="U72" s="414">
        <v>2009</v>
      </c>
      <c r="V72" s="414">
        <v>2010</v>
      </c>
      <c r="W72" s="414">
        <v>2011</v>
      </c>
      <c r="X72" s="414">
        <v>2012</v>
      </c>
      <c r="Y72" s="414">
        <v>2013</v>
      </c>
      <c r="Z72" s="420"/>
      <c r="AA72" s="420"/>
    </row>
    <row r="73" spans="9:30">
      <c r="I73" s="426" t="s">
        <v>73</v>
      </c>
      <c r="J73" s="419">
        <f t="shared" ref="J73:P73" si="11">J22+J23</f>
        <v>33</v>
      </c>
      <c r="K73" s="419">
        <f t="shared" si="11"/>
        <v>35</v>
      </c>
      <c r="L73" s="419">
        <f t="shared" si="11"/>
        <v>33</v>
      </c>
      <c r="M73" s="419">
        <f t="shared" si="11"/>
        <v>38</v>
      </c>
      <c r="N73" s="419">
        <f t="shared" si="11"/>
        <v>37</v>
      </c>
      <c r="O73" s="419">
        <f t="shared" si="11"/>
        <v>36</v>
      </c>
      <c r="P73" s="419">
        <f t="shared" si="11"/>
        <v>35</v>
      </c>
      <c r="Q73" s="417">
        <v>36</v>
      </c>
      <c r="R73" s="417">
        <v>35</v>
      </c>
      <c r="S73" s="417">
        <v>35</v>
      </c>
      <c r="T73" s="417">
        <v>44</v>
      </c>
      <c r="U73" s="416">
        <v>48</v>
      </c>
      <c r="V73" s="416">
        <f>V29</f>
        <v>49</v>
      </c>
      <c r="W73" s="416">
        <f>W29</f>
        <v>52</v>
      </c>
      <c r="X73" s="419">
        <f>X29</f>
        <v>52</v>
      </c>
      <c r="Y73" s="439">
        <v>52</v>
      </c>
      <c r="Z73" s="173"/>
      <c r="AA73" s="173"/>
    </row>
    <row r="74" spans="9:30">
      <c r="I74" s="413" t="s">
        <v>9</v>
      </c>
      <c r="J74" s="419" t="e">
        <f>#REF!</f>
        <v>#REF!</v>
      </c>
      <c r="K74" s="419" t="e">
        <f>#REF!</f>
        <v>#REF!</v>
      </c>
      <c r="L74" s="419" t="e">
        <f>#REF!</f>
        <v>#REF!</v>
      </c>
      <c r="M74" s="419" t="e">
        <f>#REF!</f>
        <v>#REF!</v>
      </c>
      <c r="N74" s="419" t="e">
        <f>#REF!</f>
        <v>#REF!</v>
      </c>
      <c r="O74" s="419" t="e">
        <f>#REF!</f>
        <v>#REF!</v>
      </c>
      <c r="P74" s="419"/>
      <c r="Q74" s="417">
        <v>1</v>
      </c>
      <c r="R74" s="417">
        <v>0</v>
      </c>
      <c r="S74" s="417">
        <v>0</v>
      </c>
      <c r="T74" s="417">
        <v>0</v>
      </c>
      <c r="U74" s="416">
        <v>0</v>
      </c>
      <c r="V74" s="416">
        <v>0</v>
      </c>
      <c r="W74" s="416">
        <v>0</v>
      </c>
      <c r="X74" s="419">
        <v>0</v>
      </c>
      <c r="Y74" s="419">
        <v>0</v>
      </c>
      <c r="Z74" s="173"/>
      <c r="AA74" s="173"/>
    </row>
    <row r="75" spans="9:30">
      <c r="I75" s="413" t="s">
        <v>74</v>
      </c>
      <c r="J75" s="419">
        <f t="shared" ref="J75:P75" si="12">J25+J26</f>
        <v>31</v>
      </c>
      <c r="K75" s="419">
        <f t="shared" si="12"/>
        <v>42</v>
      </c>
      <c r="L75" s="419">
        <f t="shared" si="12"/>
        <v>46</v>
      </c>
      <c r="M75" s="419">
        <f t="shared" si="12"/>
        <v>54</v>
      </c>
      <c r="N75" s="419">
        <f t="shared" si="12"/>
        <v>54</v>
      </c>
      <c r="O75" s="419">
        <f t="shared" si="12"/>
        <v>63</v>
      </c>
      <c r="P75" s="419">
        <f t="shared" si="12"/>
        <v>62</v>
      </c>
      <c r="Q75" s="417">
        <v>62</v>
      </c>
      <c r="R75" s="417">
        <v>68</v>
      </c>
      <c r="S75" s="417">
        <v>75</v>
      </c>
      <c r="T75" s="417">
        <v>79</v>
      </c>
      <c r="U75" s="416">
        <v>81</v>
      </c>
      <c r="V75" s="416">
        <f>V25+V26</f>
        <v>85</v>
      </c>
      <c r="W75" s="416">
        <f>W25+W26</f>
        <v>84</v>
      </c>
      <c r="X75" s="416">
        <v>87</v>
      </c>
      <c r="Y75" s="419">
        <v>91</v>
      </c>
      <c r="Z75" s="434"/>
      <c r="AA75" s="434"/>
    </row>
    <row r="76" spans="9:30">
      <c r="I76" s="413" t="s">
        <v>21</v>
      </c>
      <c r="J76" s="419" t="e">
        <f t="shared" ref="J76:X76" si="13">SUM(J73:J75)</f>
        <v>#REF!</v>
      </c>
      <c r="K76" s="419" t="e">
        <f t="shared" si="13"/>
        <v>#REF!</v>
      </c>
      <c r="L76" s="419" t="e">
        <f t="shared" si="13"/>
        <v>#REF!</v>
      </c>
      <c r="M76" s="419" t="e">
        <f t="shared" si="13"/>
        <v>#REF!</v>
      </c>
      <c r="N76" s="419" t="e">
        <f t="shared" si="13"/>
        <v>#REF!</v>
      </c>
      <c r="O76" s="419" t="e">
        <f t="shared" si="13"/>
        <v>#REF!</v>
      </c>
      <c r="P76" s="419">
        <f t="shared" si="13"/>
        <v>97</v>
      </c>
      <c r="Q76" s="417">
        <f t="shared" si="13"/>
        <v>99</v>
      </c>
      <c r="R76" s="419">
        <f t="shared" si="13"/>
        <v>103</v>
      </c>
      <c r="S76" s="419">
        <f t="shared" si="13"/>
        <v>110</v>
      </c>
      <c r="T76" s="417">
        <f t="shared" si="13"/>
        <v>123</v>
      </c>
      <c r="U76" s="417">
        <f t="shared" si="13"/>
        <v>129</v>
      </c>
      <c r="V76" s="417">
        <f t="shared" si="13"/>
        <v>134</v>
      </c>
      <c r="W76" s="417">
        <f t="shared" si="13"/>
        <v>136</v>
      </c>
      <c r="X76" s="417">
        <f t="shared" si="13"/>
        <v>139</v>
      </c>
      <c r="Y76" s="419">
        <f>SUM(Y73:Y75)</f>
        <v>143</v>
      </c>
      <c r="Z76" s="434"/>
      <c r="AA76" s="434"/>
    </row>
    <row r="77" spans="9:30">
      <c r="I77" s="413" t="s">
        <v>341</v>
      </c>
      <c r="J77" s="440">
        <f t="shared" ref="J77:X77" si="14">J75/J73</f>
        <v>0.93939393939393945</v>
      </c>
      <c r="K77" s="440">
        <f t="shared" si="14"/>
        <v>1.2</v>
      </c>
      <c r="L77" s="440">
        <f t="shared" si="14"/>
        <v>1.393939393939394</v>
      </c>
      <c r="M77" s="440">
        <f t="shared" si="14"/>
        <v>1.4210526315789473</v>
      </c>
      <c r="N77" s="440">
        <f t="shared" si="14"/>
        <v>1.4594594594594594</v>
      </c>
      <c r="O77" s="440">
        <f t="shared" si="14"/>
        <v>1.75</v>
      </c>
      <c r="P77" s="440">
        <f t="shared" si="14"/>
        <v>1.7714285714285714</v>
      </c>
      <c r="Q77" s="440">
        <f t="shared" si="14"/>
        <v>1.7222222222222223</v>
      </c>
      <c r="R77" s="440">
        <f t="shared" si="14"/>
        <v>1.9428571428571428</v>
      </c>
      <c r="S77" s="441">
        <f t="shared" si="14"/>
        <v>2.1428571428571428</v>
      </c>
      <c r="T77" s="441">
        <f t="shared" si="14"/>
        <v>1.7954545454545454</v>
      </c>
      <c r="U77" s="441">
        <f t="shared" si="14"/>
        <v>1.6875</v>
      </c>
      <c r="V77" s="441">
        <f t="shared" si="14"/>
        <v>1.7346938775510203</v>
      </c>
      <c r="W77" s="441">
        <f t="shared" si="14"/>
        <v>1.6153846153846154</v>
      </c>
      <c r="X77" s="441">
        <f t="shared" si="14"/>
        <v>1.6730769230769231</v>
      </c>
      <c r="Y77" s="441">
        <f>Y75/Y73</f>
        <v>1.75</v>
      </c>
      <c r="Z77" s="434"/>
      <c r="AA77" s="434"/>
    </row>
    <row r="78" spans="9:30" s="10" customFormat="1">
      <c r="I78" s="3"/>
      <c r="J78" s="190"/>
      <c r="K78" s="190"/>
      <c r="L78" s="190"/>
      <c r="M78" s="190"/>
      <c r="N78" s="190"/>
      <c r="O78" s="190"/>
      <c r="P78" s="190"/>
      <c r="Q78" s="190"/>
      <c r="R78" s="190"/>
      <c r="S78" s="233"/>
      <c r="T78" s="233"/>
      <c r="U78" s="233"/>
      <c r="V78" s="233"/>
      <c r="W78" s="233"/>
      <c r="X78" s="173"/>
    </row>
    <row r="79" spans="9:30">
      <c r="J79"/>
      <c r="K79"/>
      <c r="L79"/>
      <c r="M79"/>
      <c r="N79"/>
      <c r="O79"/>
      <c r="P79"/>
      <c r="Q79"/>
      <c r="R79"/>
      <c r="S79"/>
      <c r="T79"/>
      <c r="U79"/>
      <c r="V79"/>
      <c r="W79"/>
    </row>
    <row r="80" spans="9:30" s="10" customFormat="1">
      <c r="J80" s="443"/>
      <c r="K80" s="443"/>
      <c r="L80" s="443"/>
      <c r="M80" s="443"/>
      <c r="N80" s="443"/>
      <c r="O80" s="443"/>
      <c r="P80" s="443"/>
      <c r="Q80" s="443"/>
      <c r="R80" s="98"/>
      <c r="S80" s="98"/>
      <c r="T80" s="98"/>
      <c r="U80" s="98"/>
      <c r="V80" s="98"/>
      <c r="W80" s="98"/>
      <c r="X80" s="98"/>
      <c r="Y80" s="98"/>
      <c r="Z80" s="98"/>
      <c r="AA80" s="98"/>
    </row>
    <row r="81" spans="9:27" s="10" customFormat="1" ht="25.5">
      <c r="I81" s="444" t="s">
        <v>598</v>
      </c>
      <c r="J81" s="445" t="s">
        <v>2</v>
      </c>
      <c r="K81" s="445" t="s">
        <v>22</v>
      </c>
      <c r="L81" s="445" t="s">
        <v>25</v>
      </c>
      <c r="M81" s="445" t="s">
        <v>44</v>
      </c>
      <c r="N81" s="445" t="s">
        <v>55</v>
      </c>
      <c r="O81" s="445" t="s">
        <v>70</v>
      </c>
      <c r="P81" s="445" t="s">
        <v>72</v>
      </c>
      <c r="Q81" s="446">
        <v>2005</v>
      </c>
      <c r="R81" s="446">
        <v>2006</v>
      </c>
      <c r="S81" s="446">
        <v>2007</v>
      </c>
      <c r="T81" s="446">
        <v>2008</v>
      </c>
      <c r="U81" s="446">
        <v>2009</v>
      </c>
      <c r="V81" s="446">
        <v>2010</v>
      </c>
      <c r="W81" s="446">
        <v>2011</v>
      </c>
      <c r="X81" s="414">
        <v>2012</v>
      </c>
      <c r="Y81" s="414">
        <v>2013</v>
      </c>
      <c r="Z81" s="420"/>
      <c r="AA81" s="420"/>
    </row>
    <row r="82" spans="9:27" s="10" customFormat="1">
      <c r="I82" s="447" t="s">
        <v>366</v>
      </c>
      <c r="J82" s="448"/>
      <c r="K82" s="448"/>
      <c r="L82" s="448"/>
      <c r="M82" s="448"/>
      <c r="N82" s="448"/>
      <c r="O82" s="449"/>
      <c r="P82" s="449"/>
      <c r="Q82" s="450"/>
      <c r="R82" s="449">
        <v>4</v>
      </c>
      <c r="S82" s="417">
        <v>9</v>
      </c>
      <c r="T82" s="417">
        <v>21</v>
      </c>
      <c r="U82" s="417">
        <v>19</v>
      </c>
      <c r="V82" s="417">
        <v>11</v>
      </c>
      <c r="W82" s="417">
        <v>6</v>
      </c>
      <c r="X82" s="428">
        <v>7</v>
      </c>
      <c r="Y82" s="428">
        <v>8</v>
      </c>
      <c r="Z82" s="429"/>
      <c r="AA82" s="429"/>
    </row>
    <row r="83" spans="9:27" s="10" customFormat="1">
      <c r="I83" s="447" t="s">
        <v>199</v>
      </c>
      <c r="J83" s="448">
        <v>0</v>
      </c>
      <c r="K83" s="448">
        <v>0</v>
      </c>
      <c r="L83" s="448">
        <v>0</v>
      </c>
      <c r="M83" s="448">
        <v>0</v>
      </c>
      <c r="N83" s="448">
        <v>0</v>
      </c>
      <c r="O83" s="449">
        <v>2</v>
      </c>
      <c r="P83" s="449">
        <v>2</v>
      </c>
      <c r="Q83" s="450">
        <v>20</v>
      </c>
      <c r="R83" s="449">
        <v>18</v>
      </c>
      <c r="S83" s="417">
        <v>34</v>
      </c>
      <c r="T83" s="417">
        <v>38</v>
      </c>
      <c r="U83" s="417">
        <v>45</v>
      </c>
      <c r="V83" s="417">
        <v>38</v>
      </c>
      <c r="W83" s="417">
        <v>39</v>
      </c>
      <c r="X83" s="428">
        <v>36</v>
      </c>
      <c r="Y83" s="428">
        <v>26</v>
      </c>
      <c r="Z83" s="429"/>
      <c r="AA83" s="429"/>
    </row>
    <row r="84" spans="9:27" s="10" customFormat="1">
      <c r="I84" s="451" t="s">
        <v>464</v>
      </c>
      <c r="J84" s="448"/>
      <c r="K84" s="448"/>
      <c r="L84" s="448">
        <v>7</v>
      </c>
      <c r="M84" s="448">
        <v>9</v>
      </c>
      <c r="N84" s="448">
        <v>27</v>
      </c>
      <c r="O84" s="449">
        <v>12</v>
      </c>
      <c r="P84" s="449">
        <v>12</v>
      </c>
      <c r="Q84" s="450">
        <v>35</v>
      </c>
      <c r="R84" s="449">
        <v>51</v>
      </c>
      <c r="S84" s="417">
        <v>32</v>
      </c>
      <c r="T84" s="417">
        <v>28</v>
      </c>
      <c r="U84" s="417">
        <v>41</v>
      </c>
      <c r="V84" s="417">
        <v>36</v>
      </c>
      <c r="W84" s="417">
        <v>49</v>
      </c>
      <c r="X84" s="428">
        <v>72</v>
      </c>
      <c r="Y84" s="428">
        <v>84</v>
      </c>
      <c r="Z84" s="429"/>
      <c r="AA84" s="429"/>
    </row>
    <row r="85" spans="9:27" s="10" customFormat="1" hidden="1">
      <c r="I85" s="451" t="s">
        <v>465</v>
      </c>
      <c r="J85" s="448"/>
      <c r="K85" s="448"/>
      <c r="L85" s="448"/>
      <c r="M85" s="448"/>
      <c r="N85" s="448"/>
      <c r="O85" s="449"/>
      <c r="P85" s="449"/>
      <c r="Q85" s="450"/>
      <c r="R85" s="449"/>
      <c r="S85" s="417"/>
      <c r="T85" s="417"/>
      <c r="U85" s="417">
        <v>1</v>
      </c>
      <c r="V85" s="417">
        <v>1</v>
      </c>
      <c r="W85" s="417">
        <v>1</v>
      </c>
      <c r="X85" s="428"/>
      <c r="Y85" s="428"/>
      <c r="Z85" s="429"/>
      <c r="AA85" s="429"/>
    </row>
    <row r="86" spans="9:27" s="10" customFormat="1">
      <c r="I86" s="447" t="s">
        <v>21</v>
      </c>
      <c r="J86" s="448">
        <f t="shared" ref="J86:W86" si="15">SUM(J82:J85)</f>
        <v>0</v>
      </c>
      <c r="K86" s="448">
        <f t="shared" si="15"/>
        <v>0</v>
      </c>
      <c r="L86" s="448">
        <f t="shared" si="15"/>
        <v>7</v>
      </c>
      <c r="M86" s="448">
        <f t="shared" si="15"/>
        <v>9</v>
      </c>
      <c r="N86" s="448">
        <f t="shared" si="15"/>
        <v>27</v>
      </c>
      <c r="O86" s="448">
        <f t="shared" si="15"/>
        <v>14</v>
      </c>
      <c r="P86" s="448">
        <f t="shared" si="15"/>
        <v>14</v>
      </c>
      <c r="Q86" s="450">
        <f t="shared" si="15"/>
        <v>55</v>
      </c>
      <c r="R86" s="450">
        <f t="shared" si="15"/>
        <v>73</v>
      </c>
      <c r="S86" s="417">
        <f t="shared" si="15"/>
        <v>75</v>
      </c>
      <c r="T86" s="417">
        <f t="shared" si="15"/>
        <v>87</v>
      </c>
      <c r="U86" s="417">
        <f t="shared" si="15"/>
        <v>106</v>
      </c>
      <c r="V86" s="417">
        <f t="shared" si="15"/>
        <v>86</v>
      </c>
      <c r="W86" s="417">
        <f t="shared" si="15"/>
        <v>95</v>
      </c>
      <c r="X86" s="428">
        <f>SUM(X82:X84)</f>
        <v>115</v>
      </c>
      <c r="Y86" s="428">
        <f>SUM(Y82:Y84)</f>
        <v>118</v>
      </c>
      <c r="Z86" s="429"/>
      <c r="AA86" s="429"/>
    </row>
    <row r="87" spans="9:27" s="10" customFormat="1">
      <c r="I87" s="447"/>
      <c r="J87" s="448"/>
      <c r="K87" s="448"/>
      <c r="L87" s="448"/>
      <c r="M87" s="448"/>
      <c r="N87" s="448"/>
      <c r="O87" s="448"/>
      <c r="P87" s="448"/>
      <c r="Q87" s="450"/>
      <c r="R87" s="450"/>
      <c r="S87" s="417"/>
      <c r="T87" s="417"/>
      <c r="U87" s="417"/>
      <c r="V87" s="417"/>
      <c r="W87" s="417"/>
      <c r="X87" s="417"/>
      <c r="Y87" s="417"/>
      <c r="Z87" s="98"/>
      <c r="AA87" s="98"/>
    </row>
    <row r="88" spans="9:27" s="10" customFormat="1">
      <c r="I88" s="447" t="s">
        <v>350</v>
      </c>
      <c r="J88" s="452">
        <f t="shared" ref="J88:Y88" si="16">J86/J29</f>
        <v>0</v>
      </c>
      <c r="K88" s="452">
        <f t="shared" si="16"/>
        <v>0</v>
      </c>
      <c r="L88" s="452">
        <f t="shared" si="16"/>
        <v>0.21212121212121213</v>
      </c>
      <c r="M88" s="452">
        <f t="shared" si="16"/>
        <v>0.23684210526315788</v>
      </c>
      <c r="N88" s="452">
        <f t="shared" si="16"/>
        <v>0.72972972972972971</v>
      </c>
      <c r="O88" s="452">
        <f t="shared" si="16"/>
        <v>0.3888888888888889</v>
      </c>
      <c r="P88" s="452">
        <f t="shared" si="16"/>
        <v>0.4</v>
      </c>
      <c r="Q88" s="452">
        <f t="shared" si="16"/>
        <v>1.5277777777777777</v>
      </c>
      <c r="R88" s="452">
        <f t="shared" si="16"/>
        <v>2.0857142857142859</v>
      </c>
      <c r="S88" s="452">
        <f t="shared" si="16"/>
        <v>2.1428571428571428</v>
      </c>
      <c r="T88" s="452">
        <f t="shared" si="16"/>
        <v>1.9772727272727273</v>
      </c>
      <c r="U88" s="452">
        <f t="shared" si="16"/>
        <v>2.2083333333333335</v>
      </c>
      <c r="V88" s="452">
        <f t="shared" si="16"/>
        <v>1.7551020408163265</v>
      </c>
      <c r="W88" s="452">
        <f t="shared" si="16"/>
        <v>1.8269230769230769</v>
      </c>
      <c r="X88" s="452">
        <f t="shared" si="16"/>
        <v>2.2115384615384617</v>
      </c>
      <c r="Y88" s="452">
        <f t="shared" si="16"/>
        <v>2.2692307692307692</v>
      </c>
      <c r="Z88" s="443"/>
      <c r="AA88" s="443"/>
    </row>
    <row r="89" spans="9:27" s="10" customFormat="1">
      <c r="I89" s="447" t="s">
        <v>351</v>
      </c>
      <c r="J89" s="449"/>
      <c r="K89" s="449"/>
      <c r="L89" s="449"/>
      <c r="M89" s="453">
        <f t="shared" ref="M89:Y89" si="17">M84/M29</f>
        <v>0.23684210526315788</v>
      </c>
      <c r="N89" s="453">
        <f t="shared" si="17"/>
        <v>0.72972972972972971</v>
      </c>
      <c r="O89" s="453">
        <f t="shared" si="17"/>
        <v>0.33333333333333331</v>
      </c>
      <c r="P89" s="453">
        <f t="shared" si="17"/>
        <v>0.34285714285714286</v>
      </c>
      <c r="Q89" s="453">
        <f t="shared" si="17"/>
        <v>0.97222222222222221</v>
      </c>
      <c r="R89" s="453">
        <f t="shared" si="17"/>
        <v>1.4571428571428571</v>
      </c>
      <c r="S89" s="453">
        <f t="shared" si="17"/>
        <v>0.91428571428571426</v>
      </c>
      <c r="T89" s="453">
        <f t="shared" si="17"/>
        <v>0.63636363636363635</v>
      </c>
      <c r="U89" s="453">
        <f t="shared" si="17"/>
        <v>0.85416666666666663</v>
      </c>
      <c r="V89" s="453">
        <f t="shared" si="17"/>
        <v>0.73469387755102045</v>
      </c>
      <c r="W89" s="453">
        <f t="shared" si="17"/>
        <v>0.94230769230769229</v>
      </c>
      <c r="X89" s="453">
        <f t="shared" si="17"/>
        <v>1.3846153846153846</v>
      </c>
      <c r="Y89" s="453">
        <f t="shared" si="17"/>
        <v>1.6153846153846154</v>
      </c>
      <c r="Z89" s="399"/>
      <c r="AA89" s="399"/>
    </row>
    <row r="90" spans="9:27" s="10" customFormat="1">
      <c r="I90" s="241"/>
      <c r="J90" s="173"/>
      <c r="K90" s="173"/>
      <c r="L90" s="173"/>
      <c r="M90" s="256"/>
      <c r="N90" s="256"/>
      <c r="O90" s="256"/>
      <c r="P90" s="256"/>
      <c r="Q90" s="256"/>
      <c r="R90" s="256"/>
      <c r="S90" s="256"/>
      <c r="T90" s="256"/>
      <c r="U90" s="256"/>
      <c r="V90" s="256"/>
      <c r="W90" s="256"/>
      <c r="X90" s="256"/>
      <c r="Y90" s="256"/>
      <c r="Z90" s="256"/>
      <c r="AA90" s="256"/>
    </row>
    <row r="91" spans="9:27">
      <c r="J91" s="158"/>
      <c r="K91" s="158"/>
      <c r="L91" s="158"/>
      <c r="M91" s="158"/>
      <c r="N91" s="158"/>
      <c r="U91" s="158"/>
      <c r="X91" s="2"/>
      <c r="Z91" s="10"/>
      <c r="AA91" s="10"/>
    </row>
    <row r="92" spans="9:27">
      <c r="I92" s="423" t="s">
        <v>463</v>
      </c>
      <c r="J92" s="417"/>
      <c r="K92" s="417"/>
      <c r="L92" s="417"/>
      <c r="M92" s="419"/>
      <c r="N92" s="419"/>
      <c r="O92" s="419"/>
      <c r="P92" s="436"/>
      <c r="Q92" s="417"/>
      <c r="R92" s="417"/>
      <c r="S92" s="417"/>
      <c r="T92" s="417"/>
      <c r="U92" s="419"/>
      <c r="V92" s="419"/>
      <c r="W92" s="419"/>
      <c r="X92" s="419"/>
      <c r="Y92" s="419"/>
      <c r="Z92" s="173"/>
      <c r="AA92" s="173"/>
    </row>
    <row r="93" spans="9:27">
      <c r="I93" s="413"/>
      <c r="J93" s="424" t="s">
        <v>2</v>
      </c>
      <c r="K93" s="424" t="s">
        <v>22</v>
      </c>
      <c r="L93" s="424" t="s">
        <v>25</v>
      </c>
      <c r="M93" s="424" t="s">
        <v>44</v>
      </c>
      <c r="N93" s="424" t="s">
        <v>55</v>
      </c>
      <c r="O93" s="424" t="s">
        <v>70</v>
      </c>
      <c r="P93" s="424" t="s">
        <v>72</v>
      </c>
      <c r="Q93" s="414">
        <v>2005</v>
      </c>
      <c r="R93" s="414">
        <v>2006</v>
      </c>
      <c r="S93" s="414">
        <v>2007</v>
      </c>
      <c r="T93" s="414">
        <v>2008</v>
      </c>
      <c r="U93" s="430">
        <v>2009</v>
      </c>
      <c r="V93" s="430">
        <v>2010</v>
      </c>
      <c r="W93" s="430">
        <v>2011</v>
      </c>
      <c r="X93" s="414">
        <v>2012</v>
      </c>
      <c r="Y93" s="414">
        <v>2013</v>
      </c>
      <c r="Z93" s="420"/>
      <c r="AA93" s="420"/>
    </row>
    <row r="94" spans="9:27">
      <c r="I94" s="426" t="s">
        <v>461</v>
      </c>
      <c r="J94" s="416">
        <v>20</v>
      </c>
      <c r="K94" s="416">
        <v>24</v>
      </c>
      <c r="L94" s="416">
        <v>35</v>
      </c>
      <c r="M94" s="416">
        <v>37</v>
      </c>
      <c r="N94" s="416">
        <v>42</v>
      </c>
      <c r="O94" s="419">
        <v>49</v>
      </c>
      <c r="P94" s="419">
        <v>57</v>
      </c>
      <c r="Q94" s="419">
        <v>67</v>
      </c>
      <c r="R94" s="419">
        <v>71</v>
      </c>
      <c r="S94" s="419">
        <v>72</v>
      </c>
      <c r="T94" s="419">
        <v>101</v>
      </c>
      <c r="U94" s="419">
        <v>113</v>
      </c>
      <c r="V94" s="419">
        <v>104</v>
      </c>
      <c r="W94" s="419">
        <v>115</v>
      </c>
      <c r="X94" s="419">
        <v>134</v>
      </c>
      <c r="Y94" s="419">
        <v>141</v>
      </c>
      <c r="Z94" s="173"/>
      <c r="AA94" s="173"/>
    </row>
    <row r="95" spans="9:27">
      <c r="I95" s="426" t="s">
        <v>462</v>
      </c>
      <c r="J95" s="416">
        <v>25</v>
      </c>
      <c r="K95" s="416">
        <v>18</v>
      </c>
      <c r="L95" s="416">
        <v>38</v>
      </c>
      <c r="M95" s="416">
        <v>41</v>
      </c>
      <c r="N95" s="416">
        <v>37</v>
      </c>
      <c r="O95" s="419">
        <v>52</v>
      </c>
      <c r="P95" s="419">
        <v>70</v>
      </c>
      <c r="Q95" s="419">
        <v>59</v>
      </c>
      <c r="R95" s="419">
        <v>87</v>
      </c>
      <c r="S95" s="419">
        <v>141</v>
      </c>
      <c r="T95" s="417">
        <v>129</v>
      </c>
      <c r="U95" s="419">
        <v>130</v>
      </c>
      <c r="V95" s="419">
        <v>78</v>
      </c>
      <c r="W95" s="419">
        <v>83</v>
      </c>
      <c r="X95" s="419">
        <v>91</v>
      </c>
      <c r="Y95" s="419">
        <v>97</v>
      </c>
      <c r="Z95" s="173"/>
      <c r="AA95" s="173"/>
    </row>
    <row r="96" spans="9:27">
      <c r="I96" s="413" t="s">
        <v>76</v>
      </c>
      <c r="J96" s="454">
        <f t="shared" ref="J96:Y96" si="18">(J94+J95)/J29</f>
        <v>1.3636363636363635</v>
      </c>
      <c r="K96" s="454">
        <f t="shared" si="18"/>
        <v>1.2</v>
      </c>
      <c r="L96" s="454">
        <f t="shared" si="18"/>
        <v>2.2121212121212119</v>
      </c>
      <c r="M96" s="454">
        <f t="shared" si="18"/>
        <v>2.0526315789473686</v>
      </c>
      <c r="N96" s="454">
        <f t="shared" si="18"/>
        <v>2.1351351351351351</v>
      </c>
      <c r="O96" s="454">
        <f t="shared" si="18"/>
        <v>2.8055555555555554</v>
      </c>
      <c r="P96" s="454">
        <f t="shared" si="18"/>
        <v>3.6285714285714286</v>
      </c>
      <c r="Q96" s="454">
        <f t="shared" si="18"/>
        <v>3.5</v>
      </c>
      <c r="R96" s="454">
        <f t="shared" si="18"/>
        <v>4.5142857142857142</v>
      </c>
      <c r="S96" s="454">
        <f t="shared" si="18"/>
        <v>6.0857142857142854</v>
      </c>
      <c r="T96" s="454">
        <f t="shared" si="18"/>
        <v>5.2272727272727275</v>
      </c>
      <c r="U96" s="454">
        <f t="shared" si="18"/>
        <v>5.0625</v>
      </c>
      <c r="V96" s="454">
        <f t="shared" si="18"/>
        <v>3.7142857142857144</v>
      </c>
      <c r="W96" s="454">
        <f t="shared" si="18"/>
        <v>3.8076923076923075</v>
      </c>
      <c r="X96" s="454">
        <f t="shared" si="18"/>
        <v>4.3269230769230766</v>
      </c>
      <c r="Y96" s="454">
        <f t="shared" si="18"/>
        <v>4.5769230769230766</v>
      </c>
      <c r="Z96" s="173"/>
      <c r="AA96" s="173"/>
    </row>
    <row r="97" spans="9:27">
      <c r="I97" s="413" t="s">
        <v>77</v>
      </c>
      <c r="J97" s="454">
        <f t="shared" ref="J97:Y97" si="19">(J94)/J29</f>
        <v>0.60606060606060608</v>
      </c>
      <c r="K97" s="454">
        <f t="shared" si="19"/>
        <v>0.68571428571428572</v>
      </c>
      <c r="L97" s="454">
        <f t="shared" si="19"/>
        <v>1.0606060606060606</v>
      </c>
      <c r="M97" s="454">
        <f t="shared" si="19"/>
        <v>0.97368421052631582</v>
      </c>
      <c r="N97" s="454">
        <f t="shared" si="19"/>
        <v>1.1351351351351351</v>
      </c>
      <c r="O97" s="454">
        <f t="shared" si="19"/>
        <v>1.3611111111111112</v>
      </c>
      <c r="P97" s="454">
        <f t="shared" si="19"/>
        <v>1.6285714285714286</v>
      </c>
      <c r="Q97" s="454">
        <f t="shared" si="19"/>
        <v>1.8611111111111112</v>
      </c>
      <c r="R97" s="454">
        <f t="shared" si="19"/>
        <v>2.0285714285714285</v>
      </c>
      <c r="S97" s="454">
        <f t="shared" si="19"/>
        <v>2.0571428571428569</v>
      </c>
      <c r="T97" s="454">
        <f t="shared" si="19"/>
        <v>2.2954545454545454</v>
      </c>
      <c r="U97" s="454">
        <f t="shared" si="19"/>
        <v>2.3541666666666665</v>
      </c>
      <c r="V97" s="454">
        <f t="shared" si="19"/>
        <v>2.1224489795918369</v>
      </c>
      <c r="W97" s="454">
        <f t="shared" si="19"/>
        <v>2.2115384615384617</v>
      </c>
      <c r="X97" s="454">
        <f t="shared" si="19"/>
        <v>2.5769230769230771</v>
      </c>
      <c r="Y97" s="454">
        <f t="shared" si="19"/>
        <v>2.7115384615384617</v>
      </c>
      <c r="Z97" s="173"/>
      <c r="AA97" s="173"/>
    </row>
    <row r="98" spans="9:27">
      <c r="I98" s="413" t="s">
        <v>400</v>
      </c>
      <c r="J98" s="454">
        <f t="shared" ref="J98:Y98" si="20">(J94+J95)/J29</f>
        <v>1.3636363636363635</v>
      </c>
      <c r="K98" s="454">
        <f t="shared" si="20"/>
        <v>1.2</v>
      </c>
      <c r="L98" s="454">
        <f t="shared" si="20"/>
        <v>2.2121212121212119</v>
      </c>
      <c r="M98" s="454">
        <f t="shared" si="20"/>
        <v>2.0526315789473686</v>
      </c>
      <c r="N98" s="454">
        <f t="shared" si="20"/>
        <v>2.1351351351351351</v>
      </c>
      <c r="O98" s="454">
        <f t="shared" si="20"/>
        <v>2.8055555555555554</v>
      </c>
      <c r="P98" s="454">
        <f t="shared" si="20"/>
        <v>3.6285714285714286</v>
      </c>
      <c r="Q98" s="454">
        <f t="shared" si="20"/>
        <v>3.5</v>
      </c>
      <c r="R98" s="454">
        <f t="shared" si="20"/>
        <v>4.5142857142857142</v>
      </c>
      <c r="S98" s="454">
        <f t="shared" si="20"/>
        <v>6.0857142857142854</v>
      </c>
      <c r="T98" s="454">
        <f t="shared" si="20"/>
        <v>5.2272727272727275</v>
      </c>
      <c r="U98" s="454">
        <f t="shared" si="20"/>
        <v>5.0625</v>
      </c>
      <c r="V98" s="454">
        <f t="shared" si="20"/>
        <v>3.7142857142857144</v>
      </c>
      <c r="W98" s="454">
        <f t="shared" si="20"/>
        <v>3.8076923076923075</v>
      </c>
      <c r="X98" s="454">
        <f t="shared" si="20"/>
        <v>4.3269230769230766</v>
      </c>
      <c r="Y98" s="454">
        <f t="shared" si="20"/>
        <v>4.5769230769230766</v>
      </c>
      <c r="Z98" s="173"/>
      <c r="AA98" s="173"/>
    </row>
    <row r="99" spans="9:27" s="10" customFormat="1">
      <c r="I99" s="3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4"/>
      <c r="Y99" s="14"/>
    </row>
    <row r="100" spans="9:27" s="10" customFormat="1">
      <c r="I100" s="3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98"/>
      <c r="W100" s="173"/>
      <c r="X100" s="14"/>
      <c r="Y100" s="14"/>
    </row>
    <row r="101" spans="9:27" s="10" customFormat="1">
      <c r="I101" s="3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3"/>
      <c r="X101" s="14"/>
      <c r="Y101" s="14"/>
    </row>
    <row r="102" spans="9:27" s="10" customFormat="1">
      <c r="I102" s="426" t="s">
        <v>467</v>
      </c>
      <c r="J102" s="424" t="s">
        <v>2</v>
      </c>
      <c r="K102" s="424" t="s">
        <v>22</v>
      </c>
      <c r="L102" s="424" t="s">
        <v>25</v>
      </c>
      <c r="M102" s="424" t="s">
        <v>44</v>
      </c>
      <c r="N102" s="424" t="s">
        <v>55</v>
      </c>
      <c r="O102" s="424" t="s">
        <v>70</v>
      </c>
      <c r="P102" s="424" t="s">
        <v>72</v>
      </c>
      <c r="Q102" s="414">
        <v>2005</v>
      </c>
      <c r="R102" s="414">
        <v>2006</v>
      </c>
      <c r="S102" s="414">
        <v>2007</v>
      </c>
      <c r="T102" s="414">
        <v>2008</v>
      </c>
      <c r="U102" s="430">
        <v>2009</v>
      </c>
      <c r="V102" s="430">
        <v>2010</v>
      </c>
      <c r="W102" s="414">
        <v>2011</v>
      </c>
      <c r="X102" s="414">
        <v>2012</v>
      </c>
      <c r="Y102" s="414">
        <v>2013</v>
      </c>
      <c r="Z102" s="420"/>
      <c r="AA102" s="420"/>
    </row>
    <row r="103" spans="9:27" s="10" customFormat="1" ht="14.25">
      <c r="I103" s="455" t="s">
        <v>469</v>
      </c>
      <c r="J103" s="416"/>
      <c r="K103" s="416"/>
      <c r="L103" s="416"/>
      <c r="M103" s="416"/>
      <c r="N103" s="416"/>
      <c r="O103" s="416"/>
      <c r="P103" s="416"/>
      <c r="Q103" s="416"/>
      <c r="R103" s="456">
        <v>37</v>
      </c>
      <c r="S103" s="456">
        <v>29</v>
      </c>
      <c r="T103" s="456">
        <v>35</v>
      </c>
      <c r="U103" s="456">
        <v>23</v>
      </c>
      <c r="V103" s="456">
        <v>27</v>
      </c>
      <c r="W103" s="456">
        <v>29</v>
      </c>
      <c r="X103" s="456">
        <v>22</v>
      </c>
      <c r="Y103" s="458">
        <v>23</v>
      </c>
    </row>
    <row r="104" spans="9:27" s="10" customFormat="1" ht="14.25">
      <c r="I104" s="455" t="s">
        <v>470</v>
      </c>
      <c r="J104" s="416"/>
      <c r="K104" s="416"/>
      <c r="L104" s="416"/>
      <c r="M104" s="416"/>
      <c r="N104" s="416"/>
      <c r="O104" s="416"/>
      <c r="P104" s="416"/>
      <c r="Q104" s="416"/>
      <c r="R104" s="456">
        <v>20</v>
      </c>
      <c r="S104" s="456">
        <v>33</v>
      </c>
      <c r="T104" s="456">
        <v>49</v>
      </c>
      <c r="U104" s="456">
        <v>60</v>
      </c>
      <c r="V104" s="456">
        <v>42</v>
      </c>
      <c r="W104" s="456">
        <v>30</v>
      </c>
      <c r="X104" s="456">
        <v>41</v>
      </c>
      <c r="Y104" s="458">
        <v>44</v>
      </c>
    </row>
    <row r="105" spans="9:27" s="10" customFormat="1" ht="14.25">
      <c r="I105" s="455" t="s">
        <v>471</v>
      </c>
      <c r="J105" s="416"/>
      <c r="K105" s="416"/>
      <c r="L105" s="416"/>
      <c r="M105" s="416"/>
      <c r="N105" s="416"/>
      <c r="O105" s="416"/>
      <c r="P105" s="416"/>
      <c r="Q105" s="416"/>
      <c r="R105" s="456">
        <v>14</v>
      </c>
      <c r="S105" s="456">
        <v>8</v>
      </c>
      <c r="T105" s="456">
        <v>9</v>
      </c>
      <c r="U105" s="456">
        <v>19</v>
      </c>
      <c r="V105" s="456">
        <v>20</v>
      </c>
      <c r="W105" s="456">
        <v>36</v>
      </c>
      <c r="X105" s="456">
        <v>35</v>
      </c>
      <c r="Y105" s="458">
        <v>41</v>
      </c>
    </row>
    <row r="106" spans="9:27" s="10" customFormat="1" ht="14.25">
      <c r="I106" s="455" t="s">
        <v>472</v>
      </c>
      <c r="J106" s="416"/>
      <c r="K106" s="416"/>
      <c r="L106" s="416"/>
      <c r="M106" s="416"/>
      <c r="N106" s="416"/>
      <c r="O106" s="416"/>
      <c r="P106" s="416"/>
      <c r="Q106" s="416"/>
      <c r="R106" s="456">
        <v>0</v>
      </c>
      <c r="S106" s="456">
        <v>2</v>
      </c>
      <c r="T106" s="456">
        <v>8</v>
      </c>
      <c r="U106" s="456">
        <v>9</v>
      </c>
      <c r="V106" s="456">
        <v>14</v>
      </c>
      <c r="W106" s="456">
        <v>17</v>
      </c>
      <c r="X106" s="456">
        <v>30</v>
      </c>
      <c r="Y106" s="458">
        <v>26</v>
      </c>
    </row>
    <row r="107" spans="9:27" s="10" customFormat="1" ht="14.25">
      <c r="I107" s="455" t="s">
        <v>518</v>
      </c>
      <c r="J107" s="416"/>
      <c r="K107" s="416"/>
      <c r="L107" s="416"/>
      <c r="M107" s="416"/>
      <c r="N107" s="416"/>
      <c r="O107" s="416"/>
      <c r="P107" s="416"/>
      <c r="Q107" s="416"/>
      <c r="R107" s="457">
        <v>0</v>
      </c>
      <c r="S107" s="457">
        <v>0</v>
      </c>
      <c r="T107" s="457">
        <v>0</v>
      </c>
      <c r="U107" s="457">
        <v>2</v>
      </c>
      <c r="V107" s="457">
        <v>1</v>
      </c>
      <c r="W107" s="457">
        <v>3</v>
      </c>
      <c r="X107" s="456">
        <v>6</v>
      </c>
      <c r="Y107" s="458">
        <v>7</v>
      </c>
    </row>
    <row r="108" spans="9:27" s="10" customFormat="1">
      <c r="I108" s="413"/>
      <c r="J108" s="427"/>
      <c r="K108" s="427"/>
      <c r="L108" s="427"/>
      <c r="M108" s="427"/>
      <c r="N108" s="427"/>
      <c r="O108" s="427"/>
      <c r="P108" s="427"/>
      <c r="Q108" s="427"/>
      <c r="R108" s="419">
        <f t="shared" ref="R108:X108" si="21">SUM(R103:R107)</f>
        <v>71</v>
      </c>
      <c r="S108" s="419">
        <f t="shared" si="21"/>
        <v>72</v>
      </c>
      <c r="T108" s="419">
        <f t="shared" si="21"/>
        <v>101</v>
      </c>
      <c r="U108" s="419">
        <f t="shared" si="21"/>
        <v>113</v>
      </c>
      <c r="V108" s="419">
        <f t="shared" si="21"/>
        <v>104</v>
      </c>
      <c r="W108" s="419">
        <f t="shared" si="21"/>
        <v>115</v>
      </c>
      <c r="X108" s="419">
        <f t="shared" si="21"/>
        <v>134</v>
      </c>
      <c r="Y108" s="419">
        <f>SUM(Y103:Y107)</f>
        <v>141</v>
      </c>
    </row>
    <row r="109" spans="9:27" s="10" customFormat="1" hidden="1">
      <c r="I109" s="13" t="s">
        <v>421</v>
      </c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98"/>
      <c r="W109" s="173"/>
      <c r="X109" s="173"/>
      <c r="Y109" s="14"/>
    </row>
    <row r="110" spans="9:27" s="10" customFormat="1" hidden="1">
      <c r="I110" s="59" t="s">
        <v>422</v>
      </c>
      <c r="J110" s="177"/>
      <c r="K110" s="177"/>
      <c r="L110" s="264">
        <v>2005</v>
      </c>
      <c r="M110" s="264">
        <v>2006</v>
      </c>
      <c r="N110" s="264">
        <v>2007</v>
      </c>
      <c r="O110" s="264">
        <v>2008</v>
      </c>
      <c r="P110" s="264">
        <v>2009</v>
      </c>
      <c r="Q110" s="264">
        <v>2010</v>
      </c>
      <c r="R110" s="264">
        <v>2011</v>
      </c>
      <c r="S110" s="177"/>
      <c r="T110" s="177"/>
      <c r="U110" s="177"/>
      <c r="V110" s="98"/>
      <c r="W110" s="173"/>
      <c r="X110" s="14"/>
      <c r="Y110" s="14"/>
    </row>
    <row r="111" spans="9:27" s="10" customFormat="1" hidden="1">
      <c r="I111" s="59" t="s">
        <v>423</v>
      </c>
      <c r="J111" s="59"/>
      <c r="K111" s="59"/>
      <c r="L111" s="63">
        <v>0</v>
      </c>
      <c r="M111" s="63">
        <v>0</v>
      </c>
      <c r="N111" s="63">
        <v>0</v>
      </c>
      <c r="O111" s="63">
        <v>1</v>
      </c>
      <c r="P111" s="63">
        <v>0</v>
      </c>
      <c r="Q111" s="63">
        <v>1</v>
      </c>
      <c r="R111" s="63">
        <v>0</v>
      </c>
      <c r="S111" s="177"/>
      <c r="T111" s="177"/>
      <c r="U111" s="177"/>
      <c r="V111" s="98"/>
      <c r="W111" s="173"/>
      <c r="X111" s="14"/>
      <c r="Y111" s="14"/>
    </row>
    <row r="112" spans="9:27" s="10" customFormat="1" hidden="1">
      <c r="J112" s="59"/>
      <c r="K112" s="59"/>
      <c r="L112" s="63">
        <v>0</v>
      </c>
      <c r="M112" s="63">
        <v>0</v>
      </c>
      <c r="N112" s="63">
        <v>0</v>
      </c>
      <c r="O112" s="63">
        <v>1</v>
      </c>
      <c r="P112" s="63">
        <v>1</v>
      </c>
      <c r="Q112" s="63">
        <v>2</v>
      </c>
      <c r="R112" s="63">
        <v>1</v>
      </c>
      <c r="S112" s="177"/>
      <c r="T112" s="177"/>
      <c r="U112" s="177"/>
      <c r="V112" s="98"/>
      <c r="W112" s="173"/>
      <c r="X112" s="14"/>
      <c r="Y112" s="14"/>
    </row>
    <row r="113" spans="9:27" s="10" customFormat="1" hidden="1">
      <c r="I113" s="267" t="s">
        <v>420</v>
      </c>
      <c r="J113" s="268"/>
      <c r="K113" s="268"/>
      <c r="L113" s="261"/>
      <c r="M113" s="261"/>
      <c r="N113" s="261"/>
      <c r="O113" s="261"/>
      <c r="P113" s="261"/>
      <c r="Q113" s="269"/>
      <c r="R113" s="268"/>
      <c r="S113" s="177"/>
      <c r="T113" s="177"/>
      <c r="U113" s="177"/>
      <c r="V113" s="98"/>
      <c r="W113" s="173"/>
      <c r="X113" s="14"/>
      <c r="Y113" s="14"/>
    </row>
    <row r="114" spans="9:27" s="10" customFormat="1" hidden="1">
      <c r="I114" s="269"/>
      <c r="J114" s="268"/>
      <c r="K114" s="268"/>
      <c r="L114" s="264">
        <v>2005</v>
      </c>
      <c r="M114" s="264">
        <v>2006</v>
      </c>
      <c r="N114" s="264">
        <v>2007</v>
      </c>
      <c r="O114" s="264">
        <v>2008</v>
      </c>
      <c r="P114" s="264">
        <v>2009</v>
      </c>
      <c r="Q114" s="264">
        <v>2010</v>
      </c>
      <c r="R114" s="264">
        <v>2011</v>
      </c>
      <c r="S114" s="177"/>
      <c r="T114" s="177"/>
      <c r="U114" s="177"/>
      <c r="V114" s="98"/>
      <c r="W114" s="173"/>
      <c r="X114" s="14"/>
      <c r="Y114" s="14"/>
    </row>
    <row r="115" spans="9:27" s="10" customFormat="1" hidden="1">
      <c r="I115" s="270" t="s">
        <v>422</v>
      </c>
      <c r="J115" s="270"/>
      <c r="K115" s="270"/>
      <c r="L115" s="266">
        <v>0</v>
      </c>
      <c r="M115" s="266">
        <v>0</v>
      </c>
      <c r="N115" s="266">
        <v>3</v>
      </c>
      <c r="O115" s="266">
        <v>1</v>
      </c>
      <c r="P115" s="266">
        <v>0</v>
      </c>
      <c r="Q115" s="266">
        <v>2</v>
      </c>
      <c r="R115" s="266">
        <v>6</v>
      </c>
      <c r="S115" s="252"/>
      <c r="T115" s="177"/>
      <c r="U115" s="177"/>
      <c r="V115" s="98"/>
      <c r="W115" s="173"/>
      <c r="X115" s="14"/>
      <c r="Y115" s="14"/>
    </row>
    <row r="116" spans="9:27" s="10" customFormat="1" hidden="1">
      <c r="I116" s="270" t="s">
        <v>423</v>
      </c>
      <c r="J116" s="270"/>
      <c r="K116" s="270"/>
      <c r="L116" s="266">
        <v>0</v>
      </c>
      <c r="M116" s="266">
        <v>2</v>
      </c>
      <c r="N116" s="266">
        <v>2</v>
      </c>
      <c r="O116" s="266">
        <v>8</v>
      </c>
      <c r="P116" s="266">
        <v>9</v>
      </c>
      <c r="Q116" s="266">
        <v>2</v>
      </c>
      <c r="R116" s="266">
        <v>6</v>
      </c>
      <c r="S116" s="177"/>
      <c r="T116" s="177"/>
      <c r="U116" s="177"/>
      <c r="V116" s="98"/>
      <c r="W116" s="173"/>
      <c r="X116" s="14"/>
      <c r="Y116" s="14"/>
    </row>
    <row r="117" spans="9:27" s="10" customFormat="1"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98"/>
      <c r="W117" s="173"/>
      <c r="X117" s="14"/>
      <c r="Y117" s="14"/>
    </row>
    <row r="118" spans="9:27">
      <c r="I118" s="423" t="s">
        <v>17</v>
      </c>
      <c r="J118" s="423"/>
      <c r="K118" s="423"/>
      <c r="L118" s="423"/>
      <c r="M118" s="416"/>
      <c r="N118" s="416"/>
      <c r="O118" s="416"/>
      <c r="P118" s="416"/>
      <c r="Q118" s="416"/>
      <c r="R118" s="416"/>
      <c r="S118" s="425"/>
      <c r="T118" s="417"/>
      <c r="U118" s="419"/>
      <c r="V118" s="419"/>
      <c r="W118" s="419"/>
      <c r="X118" s="419"/>
      <c r="Y118" s="419"/>
      <c r="Z118" s="173"/>
      <c r="AA118" s="173"/>
    </row>
    <row r="119" spans="9:27" ht="15">
      <c r="I119" s="459"/>
      <c r="J119" s="459"/>
      <c r="K119" s="459"/>
      <c r="L119" s="459"/>
      <c r="M119" s="459">
        <v>2001</v>
      </c>
      <c r="N119" s="459">
        <v>2002</v>
      </c>
      <c r="O119" s="459">
        <v>2003</v>
      </c>
      <c r="P119" s="459">
        <v>2004</v>
      </c>
      <c r="Q119" s="459">
        <v>2005</v>
      </c>
      <c r="R119" s="459">
        <v>2006</v>
      </c>
      <c r="S119" s="459">
        <v>2007</v>
      </c>
      <c r="T119" s="459">
        <v>2008</v>
      </c>
      <c r="U119" s="459">
        <v>2009</v>
      </c>
      <c r="V119" s="459">
        <v>2010</v>
      </c>
      <c r="W119" s="459">
        <v>2011</v>
      </c>
      <c r="X119" s="414">
        <v>2012</v>
      </c>
      <c r="Y119" s="414">
        <v>2013</v>
      </c>
      <c r="Z119" s="420"/>
      <c r="AA119" s="420"/>
    </row>
    <row r="120" spans="9:27" ht="14.25">
      <c r="I120" s="460" t="s">
        <v>466</v>
      </c>
      <c r="J120" s="460"/>
      <c r="K120" s="460"/>
      <c r="L120" s="460"/>
      <c r="M120" s="461">
        <v>62</v>
      </c>
      <c r="N120" s="461">
        <v>87</v>
      </c>
      <c r="O120" s="461">
        <v>65</v>
      </c>
      <c r="P120" s="461">
        <v>33</v>
      </c>
      <c r="Q120" s="461">
        <v>29</v>
      </c>
      <c r="R120" s="419">
        <v>45</v>
      </c>
      <c r="S120" s="419">
        <v>24</v>
      </c>
      <c r="T120" s="419">
        <v>13</v>
      </c>
      <c r="U120" s="417">
        <v>24</v>
      </c>
      <c r="V120" s="417">
        <v>6</v>
      </c>
      <c r="W120" s="417">
        <v>32</v>
      </c>
      <c r="X120" s="417">
        <v>16</v>
      </c>
      <c r="Y120" s="417">
        <v>35</v>
      </c>
      <c r="Z120" s="10"/>
      <c r="AA120" s="10"/>
    </row>
    <row r="121" spans="9:27" ht="14.25">
      <c r="I121" s="460" t="s">
        <v>203</v>
      </c>
      <c r="J121" s="460"/>
      <c r="K121" s="460"/>
      <c r="L121" s="460"/>
      <c r="M121" s="461">
        <v>53</v>
      </c>
      <c r="N121" s="461">
        <v>71</v>
      </c>
      <c r="O121" s="461">
        <v>61</v>
      </c>
      <c r="P121" s="461">
        <v>27</v>
      </c>
      <c r="Q121" s="461">
        <v>31</v>
      </c>
      <c r="R121" s="419">
        <v>49</v>
      </c>
      <c r="S121" s="419">
        <v>40</v>
      </c>
      <c r="T121" s="419">
        <v>29</v>
      </c>
      <c r="U121" s="417">
        <v>59</v>
      </c>
      <c r="V121" s="417">
        <v>46</v>
      </c>
      <c r="W121" s="417">
        <v>80</v>
      </c>
      <c r="X121" s="417">
        <v>70</v>
      </c>
      <c r="Y121" s="417">
        <v>127</v>
      </c>
      <c r="Z121" s="10"/>
      <c r="AA121" s="10"/>
    </row>
    <row r="122" spans="9:27" ht="14.25">
      <c r="I122" s="460" t="s">
        <v>599</v>
      </c>
      <c r="J122" s="460"/>
      <c r="K122" s="460"/>
      <c r="L122" s="460"/>
      <c r="M122" s="461">
        <v>74</v>
      </c>
      <c r="N122" s="461">
        <v>82</v>
      </c>
      <c r="O122" s="461">
        <v>76</v>
      </c>
      <c r="P122" s="461">
        <v>32</v>
      </c>
      <c r="Q122" s="461">
        <v>35</v>
      </c>
      <c r="R122" s="419">
        <v>38</v>
      </c>
      <c r="S122" s="419">
        <v>19</v>
      </c>
      <c r="T122" s="419">
        <v>75</v>
      </c>
      <c r="U122" s="417">
        <v>61</v>
      </c>
      <c r="V122" s="417">
        <v>47</v>
      </c>
      <c r="W122" s="417">
        <v>52</v>
      </c>
      <c r="X122" s="417">
        <v>35</v>
      </c>
      <c r="Y122" s="417">
        <v>88</v>
      </c>
      <c r="Z122" s="10"/>
      <c r="AA122" s="10"/>
    </row>
    <row r="123" spans="9:27" ht="15">
      <c r="I123" s="469" t="s">
        <v>45</v>
      </c>
      <c r="J123" s="460"/>
      <c r="K123" s="460"/>
      <c r="L123" s="460"/>
      <c r="M123" s="461">
        <v>189</v>
      </c>
      <c r="N123" s="461">
        <v>240</v>
      </c>
      <c r="O123" s="461">
        <v>202</v>
      </c>
      <c r="P123" s="461">
        <v>92</v>
      </c>
      <c r="Q123" s="461">
        <v>95</v>
      </c>
      <c r="R123" s="419">
        <f t="shared" ref="R123:Y123" si="22">SUM(R120:R122)</f>
        <v>132</v>
      </c>
      <c r="S123" s="419">
        <f t="shared" si="22"/>
        <v>83</v>
      </c>
      <c r="T123" s="419">
        <f t="shared" si="22"/>
        <v>117</v>
      </c>
      <c r="U123" s="417">
        <f t="shared" si="22"/>
        <v>144</v>
      </c>
      <c r="V123" s="417">
        <f t="shared" si="22"/>
        <v>99</v>
      </c>
      <c r="W123" s="417">
        <f t="shared" si="22"/>
        <v>164</v>
      </c>
      <c r="X123" s="417">
        <f t="shared" si="22"/>
        <v>121</v>
      </c>
      <c r="Y123" s="430">
        <f t="shared" si="22"/>
        <v>250</v>
      </c>
      <c r="Z123" s="10"/>
      <c r="AA123" s="10"/>
    </row>
    <row r="124" spans="9:27" ht="14.25">
      <c r="I124" s="460" t="s">
        <v>538</v>
      </c>
      <c r="J124" s="460"/>
      <c r="K124" s="460"/>
      <c r="L124" s="460"/>
      <c r="M124" s="461"/>
      <c r="N124" s="461"/>
      <c r="O124" s="461"/>
      <c r="P124" s="461"/>
      <c r="Q124" s="461"/>
      <c r="R124" s="419"/>
      <c r="S124" s="419"/>
      <c r="T124" s="419"/>
      <c r="U124" s="417"/>
      <c r="V124" s="417"/>
      <c r="W124" s="417"/>
      <c r="X124" s="417"/>
      <c r="Y124" s="417">
        <v>97</v>
      </c>
      <c r="Z124" s="10"/>
      <c r="AA124" s="10"/>
    </row>
    <row r="125" spans="9:27" ht="14.25">
      <c r="I125" s="460" t="s">
        <v>601</v>
      </c>
      <c r="J125" s="460"/>
      <c r="K125" s="460"/>
      <c r="L125" s="460"/>
      <c r="M125" s="461"/>
      <c r="N125" s="461"/>
      <c r="O125" s="461"/>
      <c r="P125" s="461"/>
      <c r="Q125" s="461"/>
      <c r="R125" s="419"/>
      <c r="S125" s="419"/>
      <c r="T125" s="419"/>
      <c r="U125" s="417"/>
      <c r="V125" s="417"/>
      <c r="W125" s="417"/>
      <c r="X125" s="417"/>
      <c r="Y125" s="417">
        <v>4</v>
      </c>
      <c r="Z125" s="10"/>
      <c r="AA125" s="10"/>
    </row>
    <row r="126" spans="9:27" ht="14.25">
      <c r="I126" s="460" t="s">
        <v>539</v>
      </c>
      <c r="J126" s="460"/>
      <c r="K126" s="460"/>
      <c r="L126" s="460"/>
      <c r="M126" s="461"/>
      <c r="N126" s="461"/>
      <c r="O126" s="461"/>
      <c r="P126" s="461"/>
      <c r="Q126" s="461"/>
      <c r="R126" s="419"/>
      <c r="S126" s="419"/>
      <c r="T126" s="419"/>
      <c r="U126" s="417"/>
      <c r="V126" s="417"/>
      <c r="W126" s="417"/>
      <c r="X126" s="417"/>
      <c r="Y126" s="417">
        <v>76</v>
      </c>
      <c r="Z126" s="10"/>
      <c r="AA126" s="10"/>
    </row>
    <row r="127" spans="9:27" ht="14.25">
      <c r="I127" s="460" t="s">
        <v>540</v>
      </c>
      <c r="J127" s="460"/>
      <c r="K127" s="460"/>
      <c r="L127" s="460"/>
      <c r="M127" s="461"/>
      <c r="N127" s="461"/>
      <c r="O127" s="461"/>
      <c r="P127" s="461"/>
      <c r="Q127" s="461"/>
      <c r="R127" s="419"/>
      <c r="S127" s="419"/>
      <c r="T127" s="419"/>
      <c r="U127" s="417"/>
      <c r="V127" s="417"/>
      <c r="W127" s="417"/>
      <c r="X127" s="417"/>
      <c r="Y127" s="427">
        <f>5+3</f>
        <v>8</v>
      </c>
      <c r="Z127" s="10"/>
      <c r="AA127" s="10"/>
    </row>
    <row r="128" spans="9:27" s="10" customFormat="1">
      <c r="I128" s="3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98"/>
      <c r="W128" s="173"/>
      <c r="X128" s="14"/>
      <c r="Y128" s="14"/>
    </row>
    <row r="129" spans="1:27" ht="18" customHeight="1">
      <c r="A129" s="357"/>
      <c r="B129" s="357"/>
      <c r="C129" s="357"/>
      <c r="D129" s="357"/>
      <c r="E129" s="357"/>
      <c r="F129" s="357"/>
      <c r="G129" s="357"/>
      <c r="H129" s="357"/>
      <c r="I129" s="10"/>
      <c r="J129" s="13"/>
      <c r="K129" s="13"/>
      <c r="L129" s="13"/>
      <c r="M129" s="174"/>
      <c r="N129" s="174"/>
      <c r="O129" s="174"/>
      <c r="P129" s="17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</row>
    <row r="130" spans="1:27" ht="15">
      <c r="I130" s="423" t="s">
        <v>64</v>
      </c>
      <c r="J130" s="424" t="s">
        <v>2</v>
      </c>
      <c r="K130" s="424" t="s">
        <v>22</v>
      </c>
      <c r="L130" s="424" t="s">
        <v>25</v>
      </c>
      <c r="M130" s="424" t="s">
        <v>44</v>
      </c>
      <c r="N130" s="424" t="s">
        <v>55</v>
      </c>
      <c r="O130" s="424" t="s">
        <v>70</v>
      </c>
      <c r="P130" s="424" t="s">
        <v>72</v>
      </c>
      <c r="Q130" s="424" t="s">
        <v>82</v>
      </c>
      <c r="R130" s="414">
        <v>2006</v>
      </c>
      <c r="S130" s="414">
        <v>2007</v>
      </c>
      <c r="T130" s="459">
        <v>2008</v>
      </c>
      <c r="U130" s="459">
        <v>2009</v>
      </c>
      <c r="V130" s="459">
        <v>2010</v>
      </c>
      <c r="W130" s="459">
        <v>2011</v>
      </c>
      <c r="X130" s="459">
        <v>2012</v>
      </c>
      <c r="Y130" s="414">
        <v>2013</v>
      </c>
      <c r="Z130" s="420"/>
      <c r="AA130" s="420"/>
    </row>
    <row r="131" spans="1:27">
      <c r="I131" s="413" t="s">
        <v>36</v>
      </c>
      <c r="J131" s="448">
        <v>31</v>
      </c>
      <c r="K131" s="448">
        <v>31</v>
      </c>
      <c r="L131" s="448">
        <v>25</v>
      </c>
      <c r="M131" s="448">
        <v>31</v>
      </c>
      <c r="N131" s="448">
        <v>49</v>
      </c>
      <c r="O131" s="449">
        <v>56</v>
      </c>
      <c r="P131" s="449">
        <v>60</v>
      </c>
      <c r="Q131" s="449">
        <v>81</v>
      </c>
      <c r="R131" s="449">
        <v>56</v>
      </c>
      <c r="S131" s="462">
        <v>51</v>
      </c>
      <c r="T131" s="462">
        <v>43</v>
      </c>
      <c r="U131" s="462">
        <v>36</v>
      </c>
      <c r="V131" s="462">
        <v>70</v>
      </c>
      <c r="W131" s="462">
        <v>70</v>
      </c>
      <c r="X131" s="462">
        <v>74</v>
      </c>
      <c r="Y131" s="462">
        <v>46</v>
      </c>
      <c r="Z131" s="10"/>
      <c r="AA131" s="10"/>
    </row>
    <row r="132" spans="1:27">
      <c r="I132" s="413" t="s">
        <v>37</v>
      </c>
      <c r="J132" s="448">
        <v>27</v>
      </c>
      <c r="K132" s="448">
        <v>26</v>
      </c>
      <c r="L132" s="448">
        <v>43</v>
      </c>
      <c r="M132" s="448">
        <v>47</v>
      </c>
      <c r="N132" s="448">
        <v>52</v>
      </c>
      <c r="O132" s="449">
        <v>62</v>
      </c>
      <c r="P132" s="449">
        <v>71</v>
      </c>
      <c r="Q132" s="449">
        <v>104</v>
      </c>
      <c r="R132" s="449">
        <v>118</v>
      </c>
      <c r="S132" s="462">
        <v>136</v>
      </c>
      <c r="T132" s="462">
        <v>155</v>
      </c>
      <c r="U132" s="462">
        <v>159</v>
      </c>
      <c r="V132" s="462">
        <v>158</v>
      </c>
      <c r="W132" s="462">
        <v>138</v>
      </c>
      <c r="X132" s="462">
        <v>113</v>
      </c>
      <c r="Y132" s="462">
        <v>86</v>
      </c>
      <c r="Z132" s="10"/>
      <c r="AA132" s="10"/>
    </row>
    <row r="133" spans="1:27">
      <c r="I133" s="413" t="s">
        <v>34</v>
      </c>
      <c r="J133" s="448">
        <v>7</v>
      </c>
      <c r="K133" s="448">
        <v>8</v>
      </c>
      <c r="L133" s="448">
        <v>14</v>
      </c>
      <c r="M133" s="448">
        <v>17</v>
      </c>
      <c r="N133" s="448">
        <v>13</v>
      </c>
      <c r="O133" s="449">
        <v>15</v>
      </c>
      <c r="P133" s="449">
        <v>24</v>
      </c>
      <c r="Q133" s="449">
        <v>34</v>
      </c>
      <c r="R133" s="449">
        <v>28</v>
      </c>
      <c r="S133" s="462">
        <v>19</v>
      </c>
      <c r="T133" s="462">
        <v>24</v>
      </c>
      <c r="U133" s="462">
        <v>31</v>
      </c>
      <c r="V133" s="462">
        <v>32</v>
      </c>
      <c r="W133" s="462">
        <v>36</v>
      </c>
      <c r="X133" s="462">
        <v>30</v>
      </c>
      <c r="Y133" s="462">
        <v>11</v>
      </c>
      <c r="Z133" s="10"/>
      <c r="AA133" s="10"/>
    </row>
    <row r="134" spans="1:27">
      <c r="I134" s="463" t="s">
        <v>35</v>
      </c>
      <c r="J134" s="448">
        <v>10</v>
      </c>
      <c r="K134" s="448">
        <v>14</v>
      </c>
      <c r="L134" s="448">
        <v>24</v>
      </c>
      <c r="M134" s="448">
        <v>25</v>
      </c>
      <c r="N134" s="448">
        <v>25</v>
      </c>
      <c r="O134" s="449">
        <v>19</v>
      </c>
      <c r="P134" s="449">
        <v>18</v>
      </c>
      <c r="Q134" s="449">
        <v>26</v>
      </c>
      <c r="R134" s="449">
        <v>19</v>
      </c>
      <c r="S134" s="462">
        <v>14</v>
      </c>
      <c r="T134" s="462">
        <v>13</v>
      </c>
      <c r="U134" s="462">
        <v>6</v>
      </c>
      <c r="V134" s="462">
        <v>7</v>
      </c>
      <c r="W134" s="462">
        <v>16</v>
      </c>
      <c r="X134" s="462">
        <v>20</v>
      </c>
      <c r="Y134" s="462">
        <v>20</v>
      </c>
      <c r="Z134" s="10"/>
      <c r="AA134" s="10"/>
    </row>
    <row r="135" spans="1:27" hidden="1">
      <c r="I135" s="418" t="s">
        <v>348</v>
      </c>
      <c r="J135" s="448"/>
      <c r="K135" s="448"/>
      <c r="L135" s="448"/>
      <c r="M135" s="448"/>
      <c r="N135" s="448"/>
      <c r="O135" s="449"/>
      <c r="P135" s="449"/>
      <c r="Q135" s="449"/>
      <c r="R135" s="450"/>
      <c r="S135" s="462">
        <v>16</v>
      </c>
      <c r="T135" s="462">
        <v>33</v>
      </c>
      <c r="U135" s="462">
        <v>35</v>
      </c>
      <c r="V135" s="462">
        <v>5</v>
      </c>
      <c r="W135" s="462">
        <v>0</v>
      </c>
      <c r="X135" s="462">
        <v>0</v>
      </c>
      <c r="Y135" s="462"/>
      <c r="Z135" s="10"/>
      <c r="AA135" s="10"/>
    </row>
    <row r="136" spans="1:27">
      <c r="I136" s="426" t="s">
        <v>517</v>
      </c>
      <c r="J136" s="448"/>
      <c r="K136" s="448"/>
      <c r="L136" s="448"/>
      <c r="M136" s="448"/>
      <c r="N136" s="448"/>
      <c r="O136" s="448"/>
      <c r="P136" s="448"/>
      <c r="Q136" s="448"/>
      <c r="R136" s="448"/>
      <c r="S136" s="449"/>
      <c r="T136" s="449"/>
      <c r="U136" s="449"/>
      <c r="V136" s="449"/>
      <c r="W136" s="449"/>
      <c r="X136" s="449">
        <v>2</v>
      </c>
      <c r="Y136" s="462">
        <v>3</v>
      </c>
      <c r="Z136" s="10"/>
      <c r="AA136" s="10"/>
    </row>
    <row r="137" spans="1:27">
      <c r="I137" s="426" t="s">
        <v>348</v>
      </c>
      <c r="J137" s="448"/>
      <c r="K137" s="448"/>
      <c r="L137" s="448"/>
      <c r="M137" s="448"/>
      <c r="N137" s="448"/>
      <c r="O137" s="448"/>
      <c r="P137" s="448"/>
      <c r="Q137" s="448"/>
      <c r="R137" s="448"/>
      <c r="S137" s="449"/>
      <c r="T137" s="449"/>
      <c r="U137" s="449"/>
      <c r="V137" s="449"/>
      <c r="W137" s="449"/>
      <c r="X137" s="449"/>
      <c r="Y137" s="464"/>
      <c r="Z137" s="10"/>
      <c r="AA137" s="10"/>
    </row>
    <row r="138" spans="1:27">
      <c r="I138" s="413" t="s">
        <v>18</v>
      </c>
      <c r="J138" s="448">
        <f t="shared" ref="J138:S138" si="23">SUM(J131:J135)</f>
        <v>75</v>
      </c>
      <c r="K138" s="448">
        <f t="shared" si="23"/>
        <v>79</v>
      </c>
      <c r="L138" s="448">
        <f t="shared" si="23"/>
        <v>106</v>
      </c>
      <c r="M138" s="448">
        <f t="shared" si="23"/>
        <v>120</v>
      </c>
      <c r="N138" s="448">
        <f t="shared" si="23"/>
        <v>139</v>
      </c>
      <c r="O138" s="448">
        <f t="shared" si="23"/>
        <v>152</v>
      </c>
      <c r="P138" s="448">
        <f t="shared" si="23"/>
        <v>173</v>
      </c>
      <c r="Q138" s="448">
        <f t="shared" si="23"/>
        <v>245</v>
      </c>
      <c r="R138" s="448">
        <f t="shared" si="23"/>
        <v>221</v>
      </c>
      <c r="S138" s="449">
        <f t="shared" si="23"/>
        <v>236</v>
      </c>
      <c r="T138" s="449">
        <f>SUM(T131:T135)</f>
        <v>268</v>
      </c>
      <c r="U138" s="449">
        <f>SUM(U131:U135)</f>
        <v>267</v>
      </c>
      <c r="V138" s="449">
        <f>SUM(V131:V135)</f>
        <v>272</v>
      </c>
      <c r="W138" s="449">
        <f>SUM(W131:W135)</f>
        <v>260</v>
      </c>
      <c r="X138" s="449">
        <f>SUM(X131:X136)</f>
        <v>239</v>
      </c>
      <c r="Y138" s="449">
        <f>SUM(Y131:Y136)</f>
        <v>166</v>
      </c>
      <c r="Z138" s="10"/>
      <c r="AA138" s="10"/>
    </row>
    <row r="139" spans="1:27">
      <c r="I139" s="415" t="s">
        <v>519</v>
      </c>
      <c r="J139" s="448"/>
      <c r="K139" s="448"/>
      <c r="L139" s="448"/>
      <c r="M139" s="448"/>
      <c r="N139" s="448"/>
      <c r="O139" s="449"/>
      <c r="P139" s="449"/>
      <c r="Q139" s="449"/>
      <c r="R139" s="450"/>
      <c r="S139" s="462"/>
      <c r="T139" s="462"/>
      <c r="U139" s="462"/>
      <c r="V139" s="462">
        <v>80</v>
      </c>
      <c r="W139" s="462"/>
      <c r="X139" s="462">
        <v>77</v>
      </c>
      <c r="Y139" s="465"/>
      <c r="Z139" s="10"/>
      <c r="AA139" s="10"/>
    </row>
    <row r="140" spans="1:27">
      <c r="I140" s="426" t="s">
        <v>516</v>
      </c>
      <c r="J140" s="448"/>
      <c r="K140" s="448"/>
      <c r="L140" s="448"/>
      <c r="M140" s="448"/>
      <c r="N140" s="448"/>
      <c r="O140" s="448"/>
      <c r="P140" s="448"/>
      <c r="Q140" s="448"/>
      <c r="R140" s="448"/>
      <c r="S140" s="449"/>
      <c r="T140" s="449"/>
      <c r="U140" s="449"/>
      <c r="V140" s="449"/>
      <c r="W140" s="449"/>
      <c r="X140" s="449"/>
      <c r="Y140" s="464"/>
      <c r="Z140" s="10"/>
      <c r="AA140" s="10"/>
    </row>
    <row r="141" spans="1:27">
      <c r="I141" s="413" t="s">
        <v>78</v>
      </c>
      <c r="J141" s="453">
        <f t="shared" ref="J141:Y141" si="24">J138/J29</f>
        <v>2.2727272727272729</v>
      </c>
      <c r="K141" s="453">
        <f t="shared" si="24"/>
        <v>2.2571428571428571</v>
      </c>
      <c r="L141" s="453">
        <f t="shared" si="24"/>
        <v>3.2121212121212119</v>
      </c>
      <c r="M141" s="453">
        <f t="shared" si="24"/>
        <v>3.1578947368421053</v>
      </c>
      <c r="N141" s="453">
        <f t="shared" si="24"/>
        <v>3.7567567567567566</v>
      </c>
      <c r="O141" s="453">
        <f t="shared" si="24"/>
        <v>4.2222222222222223</v>
      </c>
      <c r="P141" s="453">
        <f t="shared" si="24"/>
        <v>4.9428571428571431</v>
      </c>
      <c r="Q141" s="453">
        <f t="shared" si="24"/>
        <v>6.8055555555555554</v>
      </c>
      <c r="R141" s="453">
        <f t="shared" si="24"/>
        <v>6.3142857142857141</v>
      </c>
      <c r="S141" s="453">
        <f t="shared" si="24"/>
        <v>6.7428571428571429</v>
      </c>
      <c r="T141" s="453">
        <f t="shared" si="24"/>
        <v>6.0909090909090908</v>
      </c>
      <c r="U141" s="453">
        <f t="shared" si="24"/>
        <v>5.5625</v>
      </c>
      <c r="V141" s="453">
        <f t="shared" si="24"/>
        <v>5.5510204081632653</v>
      </c>
      <c r="W141" s="453">
        <f t="shared" si="24"/>
        <v>5</v>
      </c>
      <c r="X141" s="453">
        <f t="shared" si="24"/>
        <v>4.5961538461538458</v>
      </c>
      <c r="Y141" s="453">
        <f t="shared" si="24"/>
        <v>3.1923076923076925</v>
      </c>
      <c r="Z141" s="10"/>
      <c r="AA141" s="10"/>
    </row>
    <row r="142" spans="1:27" s="10" customFormat="1">
      <c r="I142" s="3"/>
      <c r="J142" s="399"/>
      <c r="K142" s="399"/>
      <c r="L142" s="399"/>
      <c r="M142" s="399"/>
      <c r="N142" s="399"/>
      <c r="O142" s="399"/>
      <c r="P142" s="399"/>
      <c r="Q142" s="399"/>
      <c r="R142" s="399"/>
      <c r="S142" s="399"/>
      <c r="T142" s="399"/>
      <c r="U142" s="399"/>
      <c r="V142" s="399"/>
      <c r="W142" s="399"/>
      <c r="X142" s="206"/>
      <c r="Y142" s="14"/>
    </row>
    <row r="143" spans="1:27" s="10" customFormat="1">
      <c r="J143" s="174"/>
      <c r="K143" s="174"/>
      <c r="L143" s="174"/>
      <c r="M143" s="174"/>
      <c r="N143" s="178"/>
      <c r="O143" s="173"/>
      <c r="P143" s="98"/>
      <c r="Q143" s="98"/>
      <c r="R143" s="98"/>
      <c r="S143" s="98"/>
      <c r="T143" s="98"/>
      <c r="U143" s="173"/>
      <c r="V143" s="173"/>
      <c r="W143" s="173"/>
      <c r="X143" s="173"/>
    </row>
    <row r="144" spans="1:27">
      <c r="I144" s="423" t="s">
        <v>600</v>
      </c>
      <c r="J144" s="466" t="s">
        <v>2</v>
      </c>
      <c r="K144" s="466" t="s">
        <v>22</v>
      </c>
      <c r="L144" s="466" t="s">
        <v>25</v>
      </c>
      <c r="M144" s="466" t="s">
        <v>44</v>
      </c>
      <c r="N144" s="466" t="s">
        <v>55</v>
      </c>
      <c r="O144" s="466" t="s">
        <v>70</v>
      </c>
      <c r="P144" s="466" t="s">
        <v>72</v>
      </c>
      <c r="Q144" s="466" t="s">
        <v>82</v>
      </c>
      <c r="R144" s="466" t="s">
        <v>83</v>
      </c>
      <c r="S144" s="466" t="s">
        <v>346</v>
      </c>
      <c r="T144" s="466" t="s">
        <v>401</v>
      </c>
      <c r="U144" s="466" t="s">
        <v>412</v>
      </c>
      <c r="V144" s="466" t="s">
        <v>427</v>
      </c>
      <c r="W144" s="466">
        <v>2011</v>
      </c>
      <c r="X144" s="414">
        <v>2012</v>
      </c>
      <c r="Y144" s="414">
        <v>2013</v>
      </c>
      <c r="Z144" s="420"/>
      <c r="AA144" s="420"/>
    </row>
    <row r="145" spans="9:27">
      <c r="I145" s="427" t="s">
        <v>59</v>
      </c>
      <c r="J145" s="417">
        <v>1</v>
      </c>
      <c r="K145" s="417">
        <v>6</v>
      </c>
      <c r="L145" s="417">
        <v>17</v>
      </c>
      <c r="M145" s="425">
        <v>7</v>
      </c>
      <c r="N145" s="425">
        <v>12</v>
      </c>
      <c r="O145" s="419">
        <v>15</v>
      </c>
      <c r="P145" s="425">
        <v>16</v>
      </c>
      <c r="Q145" s="425">
        <v>28</v>
      </c>
      <c r="R145" s="425">
        <v>27</v>
      </c>
      <c r="S145" s="425">
        <v>19</v>
      </c>
      <c r="T145" s="425">
        <v>16</v>
      </c>
      <c r="U145" s="417">
        <f>34-13</f>
        <v>21</v>
      </c>
      <c r="V145" s="417">
        <f>48-26</f>
        <v>22</v>
      </c>
      <c r="W145" s="417">
        <v>15</v>
      </c>
      <c r="X145" s="417">
        <v>40</v>
      </c>
      <c r="Y145" s="417">
        <v>45</v>
      </c>
      <c r="Z145" s="10"/>
      <c r="AA145" s="10"/>
    </row>
    <row r="146" spans="9:27">
      <c r="I146" s="427" t="s">
        <v>60</v>
      </c>
      <c r="J146" s="417">
        <v>1</v>
      </c>
      <c r="K146" s="417">
        <v>2</v>
      </c>
      <c r="L146" s="417">
        <v>1</v>
      </c>
      <c r="M146" s="425">
        <v>5</v>
      </c>
      <c r="N146" s="425">
        <v>11</v>
      </c>
      <c r="O146" s="419">
        <v>15</v>
      </c>
      <c r="P146" s="425">
        <v>12</v>
      </c>
      <c r="Q146" s="425">
        <v>13</v>
      </c>
      <c r="R146" s="425">
        <v>14</v>
      </c>
      <c r="S146" s="425">
        <v>12</v>
      </c>
      <c r="T146" s="425">
        <v>24</v>
      </c>
      <c r="U146" s="417">
        <v>26</v>
      </c>
      <c r="V146" s="417">
        <v>18</v>
      </c>
      <c r="W146" s="417">
        <v>19</v>
      </c>
      <c r="X146" s="417">
        <v>32</v>
      </c>
      <c r="Y146" s="417">
        <v>29</v>
      </c>
      <c r="Z146" s="10"/>
      <c r="AA146" s="10"/>
    </row>
    <row r="147" spans="9:27">
      <c r="I147" s="427" t="s">
        <v>353</v>
      </c>
      <c r="J147" s="417">
        <v>2.4</v>
      </c>
      <c r="K147" s="417">
        <v>2.6</v>
      </c>
      <c r="L147" s="417">
        <v>2.7</v>
      </c>
      <c r="M147" s="425">
        <v>2.7</v>
      </c>
      <c r="N147" s="425">
        <v>2.5</v>
      </c>
      <c r="O147" s="467">
        <v>3</v>
      </c>
      <c r="P147" s="425">
        <v>2.9</v>
      </c>
      <c r="Q147" s="425">
        <v>3.1</v>
      </c>
      <c r="R147" s="425">
        <v>2.9</v>
      </c>
      <c r="S147" s="425">
        <v>2.9</v>
      </c>
      <c r="T147" s="467">
        <v>3</v>
      </c>
      <c r="U147" s="417">
        <v>2.4</v>
      </c>
      <c r="V147" s="417">
        <v>2.5</v>
      </c>
      <c r="W147" s="417">
        <v>2.9</v>
      </c>
      <c r="X147" s="417">
        <v>2.6</v>
      </c>
      <c r="Y147" s="417">
        <v>2.7</v>
      </c>
      <c r="Z147" s="10"/>
      <c r="AA147" s="10"/>
    </row>
    <row r="148" spans="9:27">
      <c r="I148" s="427" t="s">
        <v>352</v>
      </c>
      <c r="J148" s="417">
        <v>2.6</v>
      </c>
      <c r="K148" s="417">
        <v>3</v>
      </c>
      <c r="L148" s="417">
        <v>3.3</v>
      </c>
      <c r="M148" s="467">
        <v>3.6</v>
      </c>
      <c r="N148" s="425">
        <v>4.2</v>
      </c>
      <c r="O148" s="425">
        <v>4.9000000000000004</v>
      </c>
      <c r="P148" s="425">
        <v>4.5</v>
      </c>
      <c r="Q148" s="425">
        <v>4.3</v>
      </c>
      <c r="R148" s="425">
        <v>4.3</v>
      </c>
      <c r="S148" s="425">
        <v>3.8</v>
      </c>
      <c r="T148" s="425">
        <v>4.4000000000000004</v>
      </c>
      <c r="U148" s="417">
        <v>4.3</v>
      </c>
      <c r="V148" s="417">
        <v>4.4000000000000004</v>
      </c>
      <c r="W148" s="438">
        <v>4</v>
      </c>
      <c r="X148" s="438">
        <v>5</v>
      </c>
      <c r="Y148" s="438">
        <v>5.2</v>
      </c>
      <c r="Z148" s="10"/>
      <c r="AA148" s="10"/>
    </row>
    <row r="149" spans="9:27">
      <c r="I149" s="427" t="s">
        <v>334</v>
      </c>
      <c r="J149" s="417"/>
      <c r="K149" s="417"/>
      <c r="L149" s="417"/>
      <c r="M149" s="467">
        <f t="shared" ref="M149:Y149" si="25">(M145+M146)/M29</f>
        <v>0.31578947368421051</v>
      </c>
      <c r="N149" s="467">
        <f t="shared" si="25"/>
        <v>0.6216216216216216</v>
      </c>
      <c r="O149" s="467">
        <f t="shared" si="25"/>
        <v>0.83333333333333337</v>
      </c>
      <c r="P149" s="467">
        <f t="shared" si="25"/>
        <v>0.8</v>
      </c>
      <c r="Q149" s="467">
        <f t="shared" si="25"/>
        <v>1.1388888888888888</v>
      </c>
      <c r="R149" s="467">
        <f t="shared" si="25"/>
        <v>1.1714285714285715</v>
      </c>
      <c r="S149" s="467">
        <f t="shared" si="25"/>
        <v>0.88571428571428568</v>
      </c>
      <c r="T149" s="467">
        <f t="shared" si="25"/>
        <v>0.90909090909090906</v>
      </c>
      <c r="U149" s="467">
        <f t="shared" si="25"/>
        <v>0.97916666666666663</v>
      </c>
      <c r="V149" s="467">
        <f t="shared" si="25"/>
        <v>0.81632653061224492</v>
      </c>
      <c r="W149" s="467">
        <f t="shared" si="25"/>
        <v>0.65384615384615385</v>
      </c>
      <c r="X149" s="467">
        <f t="shared" si="25"/>
        <v>1.3846153846153846</v>
      </c>
      <c r="Y149" s="467">
        <f t="shared" si="25"/>
        <v>1.4230769230769231</v>
      </c>
      <c r="Z149" s="10"/>
      <c r="AA149" s="10"/>
    </row>
    <row r="150" spans="9:27">
      <c r="I150" s="427"/>
      <c r="J150" s="417"/>
      <c r="K150" s="417"/>
      <c r="L150" s="417"/>
      <c r="M150" s="467"/>
      <c r="N150" s="425"/>
      <c r="O150" s="425"/>
      <c r="P150" s="425"/>
      <c r="Q150" s="425"/>
      <c r="R150" s="425"/>
      <c r="S150" s="417"/>
      <c r="T150" s="417"/>
      <c r="U150" s="417"/>
      <c r="V150" s="417"/>
      <c r="W150" s="417"/>
      <c r="X150" s="417"/>
      <c r="Y150" s="417"/>
      <c r="Z150" s="10"/>
      <c r="AA150" s="10"/>
    </row>
    <row r="151" spans="9:27" s="10" customFormat="1">
      <c r="J151" s="98"/>
      <c r="K151" s="98"/>
      <c r="L151" s="98"/>
      <c r="M151" s="179"/>
      <c r="N151" s="178"/>
      <c r="O151" s="178"/>
      <c r="P151" s="178"/>
      <c r="Q151" s="178"/>
      <c r="R151" s="178"/>
      <c r="S151" s="98"/>
      <c r="T151" s="98"/>
      <c r="U151" s="98"/>
      <c r="V151" s="98"/>
      <c r="W151" s="173"/>
      <c r="X151" s="14"/>
      <c r="Y151" s="14"/>
    </row>
    <row r="152" spans="9:27" hidden="1">
      <c r="I152" s="71" t="s">
        <v>490</v>
      </c>
      <c r="J152" s="72"/>
      <c r="K152" s="72"/>
      <c r="L152" s="72"/>
      <c r="M152" s="72"/>
      <c r="N152" s="63"/>
      <c r="O152" s="64"/>
      <c r="P152" s="65"/>
      <c r="Q152" s="65"/>
      <c r="R152" s="65"/>
      <c r="S152" s="65"/>
      <c r="T152" s="65"/>
      <c r="U152" s="64"/>
      <c r="V152" s="64"/>
      <c r="W152" s="64"/>
      <c r="Z152" s="10"/>
      <c r="AA152" s="10"/>
    </row>
    <row r="153" spans="9:27" hidden="1">
      <c r="I153" s="245" t="s">
        <v>491</v>
      </c>
      <c r="J153" s="151"/>
      <c r="K153" s="151"/>
      <c r="L153" s="151"/>
      <c r="M153" s="151"/>
      <c r="N153" s="151"/>
      <c r="O153" s="151"/>
      <c r="P153" s="151"/>
      <c r="Q153" s="151"/>
      <c r="R153" s="151"/>
      <c r="S153" s="151"/>
      <c r="T153" s="151"/>
      <c r="U153" s="148" t="s">
        <v>494</v>
      </c>
      <c r="V153" s="148" t="s">
        <v>495</v>
      </c>
      <c r="W153" s="148" t="s">
        <v>496</v>
      </c>
      <c r="X153" s="2"/>
      <c r="Z153" s="10"/>
      <c r="AA153" s="10"/>
    </row>
    <row r="154" spans="9:27" hidden="1">
      <c r="I154" s="245" t="s">
        <v>492</v>
      </c>
      <c r="J154" s="65"/>
      <c r="K154" s="65"/>
      <c r="L154" s="65"/>
      <c r="M154" s="63"/>
      <c r="N154" s="63"/>
      <c r="O154" s="64"/>
      <c r="P154" s="63"/>
      <c r="Q154" s="63"/>
      <c r="R154" s="63"/>
      <c r="S154" s="63"/>
      <c r="T154" s="63"/>
      <c r="U154" s="65"/>
      <c r="V154" s="65"/>
      <c r="W154" s="65"/>
      <c r="X154" s="2"/>
      <c r="Y154" s="2"/>
      <c r="Z154" s="10"/>
      <c r="AA154" s="10"/>
    </row>
    <row r="155" spans="9:27" hidden="1">
      <c r="I155" s="245" t="s">
        <v>493</v>
      </c>
      <c r="J155" s="65"/>
      <c r="K155" s="65"/>
      <c r="L155" s="65"/>
      <c r="M155" s="63"/>
      <c r="N155" s="63"/>
      <c r="O155" s="64"/>
      <c r="P155" s="63"/>
      <c r="Q155" s="63"/>
      <c r="R155" s="63"/>
      <c r="S155" s="63"/>
      <c r="T155" s="63"/>
      <c r="U155" s="65"/>
      <c r="V155" s="65">
        <v>34</v>
      </c>
      <c r="W155" s="65">
        <v>26</v>
      </c>
      <c r="X155" s="2"/>
      <c r="Y155" s="2"/>
      <c r="Z155" s="10"/>
      <c r="AA155" s="10"/>
    </row>
    <row r="156" spans="9:27" hidden="1">
      <c r="I156" s="245" t="s">
        <v>21</v>
      </c>
      <c r="J156" s="65"/>
      <c r="K156" s="65"/>
      <c r="L156" s="65"/>
      <c r="M156" s="160"/>
      <c r="N156" s="63"/>
      <c r="O156" s="63"/>
      <c r="P156" s="63"/>
      <c r="Q156" s="63"/>
      <c r="R156" s="63"/>
      <c r="S156" s="65"/>
      <c r="T156" s="65"/>
      <c r="U156" s="65"/>
      <c r="V156" s="65"/>
      <c r="W156" s="65"/>
      <c r="X156" s="2"/>
      <c r="Y156" s="2"/>
      <c r="Z156" s="10"/>
      <c r="AA156" s="10"/>
    </row>
    <row r="157" spans="9:27" hidden="1">
      <c r="I157" s="245"/>
      <c r="J157" s="65"/>
      <c r="K157" s="65"/>
      <c r="L157" s="65"/>
      <c r="M157" s="160"/>
      <c r="N157" s="63"/>
      <c r="O157" s="63"/>
      <c r="P157" s="63"/>
      <c r="Q157" s="63"/>
      <c r="R157" s="63"/>
      <c r="S157" s="65"/>
      <c r="T157" s="65"/>
      <c r="U157" s="65"/>
      <c r="V157" s="65"/>
      <c r="W157" s="65"/>
      <c r="X157" s="2"/>
      <c r="Y157" s="2"/>
      <c r="Z157" s="10"/>
      <c r="AA157" s="10"/>
    </row>
    <row r="158" spans="9:27" hidden="1">
      <c r="I158" s="245" t="s">
        <v>541</v>
      </c>
      <c r="J158" s="65"/>
      <c r="K158" s="65"/>
      <c r="L158" s="65"/>
      <c r="M158" s="160"/>
      <c r="N158" s="63"/>
      <c r="O158" s="63"/>
      <c r="P158" s="63"/>
      <c r="Q158" s="63"/>
      <c r="R158" s="63"/>
      <c r="S158" s="65"/>
      <c r="T158" s="65"/>
      <c r="U158" s="65"/>
      <c r="V158" s="65"/>
      <c r="W158" s="65"/>
      <c r="X158" s="2"/>
      <c r="Y158" s="2"/>
      <c r="Z158" s="10"/>
      <c r="AA158" s="10"/>
    </row>
    <row r="159" spans="9:27" hidden="1">
      <c r="I159" s="245" t="s">
        <v>36</v>
      </c>
      <c r="J159" s="65"/>
      <c r="K159" s="65"/>
      <c r="L159" s="65"/>
      <c r="M159" s="160"/>
      <c r="N159" s="63"/>
      <c r="O159" s="63"/>
      <c r="P159" s="63"/>
      <c r="Q159" s="63"/>
      <c r="R159" s="63"/>
      <c r="S159" s="65"/>
      <c r="T159" s="65"/>
      <c r="U159" s="65"/>
      <c r="V159" s="65"/>
      <c r="W159" s="65"/>
      <c r="X159" s="2"/>
      <c r="Y159" s="2"/>
      <c r="Z159" s="10"/>
      <c r="AA159" s="10"/>
    </row>
    <row r="160" spans="9:27" hidden="1">
      <c r="I160" s="245" t="s">
        <v>34</v>
      </c>
      <c r="J160" s="65"/>
      <c r="K160" s="65"/>
      <c r="L160" s="65"/>
      <c r="M160" s="160"/>
      <c r="N160" s="63"/>
      <c r="O160" s="63"/>
      <c r="P160" s="63"/>
      <c r="Q160" s="63"/>
      <c r="R160" s="63"/>
      <c r="S160" s="65"/>
      <c r="T160" s="65"/>
      <c r="U160" s="65"/>
      <c r="V160" s="65"/>
      <c r="W160" s="65"/>
      <c r="X160" s="2"/>
      <c r="Y160" s="2"/>
      <c r="Z160" s="10"/>
      <c r="AA160" s="10"/>
    </row>
    <row r="161" spans="9:27" hidden="1">
      <c r="I161" s="245" t="s">
        <v>37</v>
      </c>
      <c r="J161" s="65"/>
      <c r="K161" s="65"/>
      <c r="L161" s="65"/>
      <c r="M161" s="160"/>
      <c r="N161" s="63"/>
      <c r="O161" s="63"/>
      <c r="P161" s="63"/>
      <c r="Q161" s="63"/>
      <c r="R161" s="63"/>
      <c r="S161" s="65"/>
      <c r="T161" s="65"/>
      <c r="U161" s="65"/>
      <c r="V161" s="65"/>
      <c r="W161" s="65"/>
      <c r="X161" s="2"/>
      <c r="Y161" s="2"/>
      <c r="Z161" s="10"/>
      <c r="AA161" s="10"/>
    </row>
    <row r="162" spans="9:27" hidden="1">
      <c r="I162" s="245" t="s">
        <v>542</v>
      </c>
      <c r="J162" s="65"/>
      <c r="K162" s="65"/>
      <c r="L162" s="65"/>
      <c r="M162" s="160"/>
      <c r="N162" s="63"/>
      <c r="O162" s="63"/>
      <c r="P162" s="63"/>
      <c r="Q162" s="63"/>
      <c r="R162" s="63"/>
      <c r="S162" s="65"/>
      <c r="T162" s="65"/>
      <c r="U162" s="65"/>
      <c r="V162" s="65"/>
      <c r="W162" s="65"/>
      <c r="X162" s="2"/>
      <c r="Y162" s="2"/>
      <c r="Z162" s="10"/>
      <c r="AA162" s="10"/>
    </row>
    <row r="163" spans="9:27" hidden="1">
      <c r="I163" s="245" t="s">
        <v>5</v>
      </c>
      <c r="J163" s="65"/>
      <c r="K163" s="65"/>
      <c r="L163" s="65"/>
      <c r="M163" s="160"/>
      <c r="N163" s="63"/>
      <c r="O163" s="63"/>
      <c r="P163" s="63"/>
      <c r="Q163" s="63"/>
      <c r="R163" s="63"/>
      <c r="S163" s="65"/>
      <c r="T163" s="65"/>
      <c r="U163" s="65"/>
      <c r="V163" s="65"/>
      <c r="W163" s="65"/>
      <c r="X163" s="2"/>
      <c r="Y163" s="2"/>
      <c r="Z163" s="10"/>
      <c r="AA163" s="10"/>
    </row>
    <row r="164" spans="9:27" hidden="1">
      <c r="I164" s="245" t="s">
        <v>6</v>
      </c>
      <c r="J164" s="65"/>
      <c r="K164" s="65"/>
      <c r="L164" s="65"/>
      <c r="M164" s="160"/>
      <c r="N164" s="63"/>
      <c r="O164" s="63"/>
      <c r="P164" s="63"/>
      <c r="Q164" s="63"/>
      <c r="R164" s="63"/>
      <c r="S164" s="65"/>
      <c r="T164" s="65"/>
      <c r="U164" s="65"/>
      <c r="V164" s="65"/>
      <c r="W164" s="65"/>
      <c r="X164" s="2"/>
      <c r="Y164" s="2"/>
      <c r="Z164" s="10"/>
      <c r="AA164" s="10"/>
    </row>
    <row r="165" spans="9:27" hidden="1">
      <c r="I165" s="245"/>
      <c r="J165" s="65"/>
      <c r="K165" s="65"/>
      <c r="L165" s="65"/>
      <c r="M165" s="160"/>
      <c r="N165" s="63"/>
      <c r="O165" s="63"/>
      <c r="P165" s="63"/>
      <c r="Q165" s="63"/>
      <c r="R165" s="63"/>
      <c r="S165" s="65"/>
      <c r="T165" s="65"/>
      <c r="U165" s="65"/>
      <c r="V165" s="65"/>
      <c r="W165" s="65"/>
      <c r="X165" s="2"/>
      <c r="Y165" s="2"/>
      <c r="Z165" s="10"/>
      <c r="AA165" s="10"/>
    </row>
    <row r="166" spans="9:27" hidden="1">
      <c r="I166" s="245" t="s">
        <v>543</v>
      </c>
      <c r="J166" s="65"/>
      <c r="K166" s="65"/>
      <c r="L166" s="65"/>
      <c r="M166" s="160"/>
      <c r="N166" s="63"/>
      <c r="O166" s="63"/>
      <c r="P166" s="63"/>
      <c r="Q166" s="63"/>
      <c r="R166" s="63"/>
      <c r="S166" s="65"/>
      <c r="T166" s="65"/>
      <c r="U166" s="65"/>
      <c r="V166" s="65"/>
      <c r="W166" s="65"/>
      <c r="X166" s="2"/>
      <c r="Y166" s="2"/>
      <c r="Z166" s="10"/>
      <c r="AA166" s="10"/>
    </row>
    <row r="167" spans="9:27" hidden="1">
      <c r="I167" s="245" t="s">
        <v>36</v>
      </c>
      <c r="J167" s="65"/>
      <c r="K167" s="65"/>
      <c r="L167" s="65"/>
      <c r="M167" s="160"/>
      <c r="N167" s="63"/>
      <c r="O167" s="63"/>
      <c r="P167" s="63"/>
      <c r="Q167" s="63"/>
      <c r="R167" s="63"/>
      <c r="S167" s="65"/>
      <c r="T167" s="65"/>
      <c r="U167" s="65"/>
      <c r="V167" s="65"/>
      <c r="W167" s="65"/>
      <c r="X167" s="2"/>
      <c r="Y167" s="2"/>
      <c r="Z167" s="10"/>
      <c r="AA167" s="10"/>
    </row>
    <row r="168" spans="9:27" hidden="1">
      <c r="I168" s="245" t="s">
        <v>34</v>
      </c>
      <c r="J168" s="65"/>
      <c r="K168" s="65"/>
      <c r="L168" s="65"/>
      <c r="M168" s="160"/>
      <c r="N168" s="63"/>
      <c r="O168" s="63"/>
      <c r="P168" s="63"/>
      <c r="Q168" s="63"/>
      <c r="R168" s="63"/>
      <c r="S168" s="65"/>
      <c r="T168" s="65"/>
      <c r="U168" s="65"/>
      <c r="V168" s="65"/>
      <c r="W168" s="65"/>
      <c r="X168" s="2"/>
      <c r="Y168" s="2"/>
      <c r="Z168" s="10"/>
      <c r="AA168" s="10"/>
    </row>
    <row r="169" spans="9:27" hidden="1">
      <c r="I169" s="245" t="s">
        <v>37</v>
      </c>
      <c r="J169" s="65"/>
      <c r="K169" s="65"/>
      <c r="L169" s="65"/>
      <c r="M169" s="160"/>
      <c r="N169" s="63"/>
      <c r="O169" s="63"/>
      <c r="P169" s="63"/>
      <c r="Q169" s="63"/>
      <c r="R169" s="63"/>
      <c r="S169" s="65"/>
      <c r="T169" s="65"/>
      <c r="U169" s="65"/>
      <c r="V169" s="65"/>
      <c r="W169" s="65"/>
      <c r="X169" s="2"/>
      <c r="Y169" s="2"/>
      <c r="Z169" s="10"/>
      <c r="AA169" s="10"/>
    </row>
    <row r="170" spans="9:27" hidden="1">
      <c r="I170" s="245" t="s">
        <v>542</v>
      </c>
      <c r="J170" s="65"/>
      <c r="K170" s="65"/>
      <c r="L170" s="65"/>
      <c r="M170" s="160"/>
      <c r="N170" s="63"/>
      <c r="O170" s="63"/>
      <c r="P170" s="63"/>
      <c r="Q170" s="63"/>
      <c r="R170" s="63"/>
      <c r="S170" s="65"/>
      <c r="T170" s="65"/>
      <c r="U170" s="65"/>
      <c r="V170" s="65"/>
      <c r="W170" s="65"/>
      <c r="X170" s="2"/>
      <c r="Y170" s="2"/>
      <c r="Z170" s="10"/>
      <c r="AA170" s="10"/>
    </row>
    <row r="171" spans="9:27" hidden="1">
      <c r="I171" s="245" t="s">
        <v>5</v>
      </c>
      <c r="J171" s="65"/>
      <c r="K171" s="65"/>
      <c r="L171" s="65"/>
      <c r="M171" s="160"/>
      <c r="N171" s="63"/>
      <c r="O171" s="63"/>
      <c r="P171" s="63"/>
      <c r="Q171" s="63"/>
      <c r="R171" s="63"/>
      <c r="S171" s="65"/>
      <c r="T171" s="65"/>
      <c r="U171" s="65"/>
      <c r="V171" s="65"/>
      <c r="W171" s="65"/>
      <c r="X171" s="2"/>
      <c r="Y171" s="2"/>
      <c r="Z171" s="10"/>
      <c r="AA171" s="10"/>
    </row>
    <row r="172" spans="9:27" hidden="1">
      <c r="I172" s="245" t="s">
        <v>6</v>
      </c>
      <c r="J172" s="65"/>
      <c r="K172" s="65"/>
      <c r="L172" s="65"/>
      <c r="M172" s="160"/>
      <c r="N172" s="63"/>
      <c r="O172" s="63"/>
      <c r="P172" s="63"/>
      <c r="Q172" s="63"/>
      <c r="R172" s="63"/>
      <c r="S172" s="65"/>
      <c r="T172" s="65"/>
      <c r="U172" s="65"/>
      <c r="V172" s="65"/>
      <c r="W172" s="65"/>
      <c r="X172" s="2"/>
      <c r="Y172" s="2"/>
      <c r="Z172" s="10"/>
      <c r="AA172" s="10"/>
    </row>
    <row r="173" spans="9:27" hidden="1">
      <c r="I173" s="245"/>
      <c r="J173" s="65"/>
      <c r="K173" s="65"/>
      <c r="L173" s="65"/>
      <c r="M173" s="160"/>
      <c r="N173" s="63"/>
      <c r="O173" s="63"/>
      <c r="P173" s="63"/>
      <c r="Q173" s="63"/>
      <c r="R173" s="63"/>
      <c r="S173" s="65"/>
      <c r="T173" s="65"/>
      <c r="U173" s="65"/>
      <c r="V173" s="65"/>
      <c r="W173" s="65"/>
      <c r="X173" s="2"/>
      <c r="Y173" s="2"/>
      <c r="Z173" s="10"/>
      <c r="AA173" s="10"/>
    </row>
    <row r="174" spans="9:27" hidden="1">
      <c r="I174" s="71" t="s">
        <v>544</v>
      </c>
      <c r="J174" s="65"/>
      <c r="K174" s="65"/>
      <c r="L174" s="65"/>
      <c r="M174" s="160"/>
      <c r="N174" s="63"/>
      <c r="O174" s="63"/>
      <c r="P174" s="63"/>
      <c r="Q174" s="63"/>
      <c r="R174" s="63"/>
      <c r="S174" s="65"/>
      <c r="T174" s="65"/>
      <c r="U174" s="65"/>
      <c r="V174" s="65"/>
      <c r="W174" s="65"/>
      <c r="X174" s="2"/>
      <c r="Y174" s="2"/>
      <c r="Z174" s="10"/>
      <c r="AA174" s="10"/>
    </row>
    <row r="175" spans="9:27" hidden="1">
      <c r="I175" s="245" t="s">
        <v>545</v>
      </c>
      <c r="J175" s="65"/>
      <c r="K175" s="65"/>
      <c r="L175" s="65"/>
      <c r="M175" s="160"/>
      <c r="N175" s="63"/>
      <c r="O175" s="63"/>
      <c r="P175" s="63"/>
      <c r="Q175" s="63"/>
      <c r="R175" s="63"/>
      <c r="S175" s="65"/>
      <c r="T175" s="65"/>
      <c r="U175" s="65"/>
      <c r="V175" s="65"/>
      <c r="W175" s="65"/>
      <c r="X175" s="2"/>
      <c r="Y175" s="2"/>
      <c r="Z175" s="10"/>
      <c r="AA175" s="10"/>
    </row>
    <row r="176" spans="9:27" hidden="1">
      <c r="I176" s="245" t="s">
        <v>546</v>
      </c>
      <c r="J176" s="65"/>
      <c r="K176" s="65"/>
      <c r="L176" s="65"/>
      <c r="M176" s="160"/>
      <c r="N176" s="63"/>
      <c r="O176" s="63"/>
      <c r="P176" s="63"/>
      <c r="Q176" s="63"/>
      <c r="R176" s="63"/>
      <c r="S176" s="65"/>
      <c r="T176" s="65"/>
      <c r="U176" s="65"/>
      <c r="V176" s="65"/>
      <c r="W176" s="65"/>
      <c r="X176" s="2"/>
      <c r="Y176" s="2"/>
      <c r="Z176" s="10"/>
      <c r="AA176" s="10"/>
    </row>
    <row r="177" spans="9:27" hidden="1">
      <c r="I177" s="245" t="s">
        <v>547</v>
      </c>
      <c r="J177" s="65"/>
      <c r="K177" s="65"/>
      <c r="L177" s="65"/>
      <c r="M177" s="160"/>
      <c r="N177" s="63"/>
      <c r="O177" s="63"/>
      <c r="P177" s="63"/>
      <c r="Q177" s="63"/>
      <c r="R177" s="63"/>
      <c r="S177" s="65"/>
      <c r="T177" s="65"/>
      <c r="U177" s="65"/>
      <c r="V177" s="65"/>
      <c r="W177" s="65"/>
      <c r="X177" s="2"/>
      <c r="Y177" s="2"/>
      <c r="Z177" s="10"/>
      <c r="AA177" s="10"/>
    </row>
    <row r="178" spans="9:27" hidden="1">
      <c r="I178" s="245"/>
      <c r="J178" s="65"/>
      <c r="K178" s="65"/>
      <c r="L178" s="65"/>
      <c r="M178" s="160"/>
      <c r="N178" s="63"/>
      <c r="O178" s="63"/>
      <c r="P178" s="63"/>
      <c r="Q178" s="63"/>
      <c r="R178" s="63"/>
      <c r="S178" s="65"/>
      <c r="T178" s="65"/>
      <c r="U178" s="65"/>
      <c r="V178" s="65"/>
      <c r="W178" s="65"/>
      <c r="X178" s="2"/>
      <c r="Y178" s="2"/>
      <c r="Z178" s="10"/>
      <c r="AA178" s="10"/>
    </row>
    <row r="179" spans="9:27" hidden="1">
      <c r="I179" s="71" t="s">
        <v>548</v>
      </c>
      <c r="J179" s="65"/>
      <c r="K179" s="65"/>
      <c r="L179" s="65"/>
      <c r="M179" s="160"/>
      <c r="N179" s="63"/>
      <c r="O179" s="63"/>
      <c r="P179" s="63"/>
      <c r="Q179" s="63"/>
      <c r="R179" s="63"/>
      <c r="S179" s="65"/>
      <c r="T179" s="65"/>
      <c r="U179" s="65"/>
      <c r="V179" s="65"/>
      <c r="W179" s="65"/>
      <c r="X179" s="2"/>
      <c r="Y179" s="2"/>
      <c r="Z179" s="10"/>
      <c r="AA179" s="10"/>
    </row>
    <row r="180" spans="9:27" hidden="1">
      <c r="I180" s="245"/>
      <c r="J180" s="65"/>
      <c r="K180" s="65"/>
      <c r="L180" s="65"/>
      <c r="M180" s="160"/>
      <c r="N180" s="63"/>
      <c r="O180" s="63"/>
      <c r="P180" s="63"/>
      <c r="Q180" s="63"/>
      <c r="R180" s="63"/>
      <c r="S180" s="65"/>
      <c r="T180" s="65"/>
      <c r="U180" s="65"/>
      <c r="V180" s="65"/>
      <c r="W180" s="65"/>
      <c r="X180" s="2"/>
      <c r="Y180" s="2"/>
      <c r="Z180" s="10"/>
      <c r="AA180" s="10"/>
    </row>
    <row r="181" spans="9:27" hidden="1">
      <c r="I181" s="245"/>
      <c r="J181" s="65"/>
      <c r="K181" s="65"/>
      <c r="L181" s="65"/>
      <c r="M181" s="160"/>
      <c r="N181" s="63"/>
      <c r="O181" s="63"/>
      <c r="P181" s="63"/>
      <c r="Q181" s="63"/>
      <c r="R181" s="63"/>
      <c r="S181" s="65"/>
      <c r="T181" s="65"/>
      <c r="U181" s="65"/>
      <c r="V181" s="65"/>
      <c r="W181" s="65"/>
      <c r="X181" s="2"/>
      <c r="Y181" s="2"/>
      <c r="Z181" s="10"/>
      <c r="AA181" s="10"/>
    </row>
    <row r="182" spans="9:27">
      <c r="I182" s="423" t="s">
        <v>549</v>
      </c>
      <c r="J182" s="417"/>
      <c r="K182" s="417"/>
      <c r="L182" s="417"/>
      <c r="M182" s="467"/>
      <c r="N182" s="425"/>
      <c r="O182" s="425"/>
      <c r="P182" s="425"/>
      <c r="Q182" s="425"/>
      <c r="R182" s="425"/>
      <c r="S182" s="417"/>
      <c r="T182" s="417"/>
      <c r="U182" s="531">
        <v>2009</v>
      </c>
      <c r="V182" s="531">
        <v>2010</v>
      </c>
      <c r="W182" s="531">
        <v>2011</v>
      </c>
      <c r="X182" s="531">
        <v>2012</v>
      </c>
      <c r="Y182" s="531">
        <v>2013</v>
      </c>
      <c r="Z182" s="10"/>
      <c r="AA182" s="10"/>
    </row>
    <row r="183" spans="9:27">
      <c r="I183" s="426" t="s">
        <v>550</v>
      </c>
      <c r="J183" s="417"/>
      <c r="K183" s="417"/>
      <c r="L183" s="417"/>
      <c r="M183" s="467"/>
      <c r="N183" s="425"/>
      <c r="O183" s="425"/>
      <c r="P183" s="425"/>
      <c r="Q183" s="425"/>
      <c r="R183" s="425"/>
      <c r="S183" s="417"/>
      <c r="T183" s="417"/>
      <c r="U183" s="532">
        <v>6</v>
      </c>
      <c r="V183" s="532">
        <v>12</v>
      </c>
      <c r="W183" s="532">
        <v>22</v>
      </c>
      <c r="X183" s="532">
        <v>28</v>
      </c>
      <c r="Y183" s="532">
        <v>36</v>
      </c>
      <c r="Z183" s="10"/>
      <c r="AA183" s="10"/>
    </row>
    <row r="184" spans="9:27" ht="14.25">
      <c r="I184" s="426" t="s">
        <v>551</v>
      </c>
      <c r="J184" s="417"/>
      <c r="K184" s="417"/>
      <c r="L184" s="417"/>
      <c r="M184" s="467"/>
      <c r="N184" s="425"/>
      <c r="O184" s="425"/>
      <c r="P184" s="425"/>
      <c r="Q184" s="425"/>
      <c r="R184" s="425"/>
      <c r="S184" s="417"/>
      <c r="T184" s="417"/>
      <c r="U184" s="533">
        <v>6069</v>
      </c>
      <c r="V184" s="533">
        <v>31921</v>
      </c>
      <c r="W184" s="533">
        <v>27611</v>
      </c>
      <c r="X184" s="533">
        <v>42580</v>
      </c>
      <c r="Y184" s="533">
        <v>57402</v>
      </c>
      <c r="Z184" s="10"/>
      <c r="AA184" s="10"/>
    </row>
    <row r="185" spans="9:27" ht="14.25">
      <c r="I185" s="426" t="s">
        <v>552</v>
      </c>
      <c r="J185" s="417"/>
      <c r="K185" s="417"/>
      <c r="L185" s="417"/>
      <c r="M185" s="467"/>
      <c r="N185" s="425"/>
      <c r="O185" s="425"/>
      <c r="P185" s="425"/>
      <c r="Q185" s="425"/>
      <c r="R185" s="425"/>
      <c r="S185" s="417"/>
      <c r="T185" s="417"/>
      <c r="U185" s="533">
        <f>U184/U183</f>
        <v>1011.5</v>
      </c>
      <c r="V185" s="533">
        <f t="shared" ref="V185:Y185" si="26">V184/V183</f>
        <v>2660.0833333333335</v>
      </c>
      <c r="W185" s="533">
        <f t="shared" si="26"/>
        <v>1255.0454545454545</v>
      </c>
      <c r="X185" s="533">
        <f t="shared" si="26"/>
        <v>1520.7142857142858</v>
      </c>
      <c r="Y185" s="533">
        <f t="shared" si="26"/>
        <v>1594.5</v>
      </c>
    </row>
    <row r="186" spans="9:27" ht="14.25">
      <c r="I186" s="426" t="s">
        <v>553</v>
      </c>
      <c r="J186" s="417"/>
      <c r="K186" s="417"/>
      <c r="L186" s="417"/>
      <c r="M186" s="467"/>
      <c r="N186" s="425"/>
      <c r="O186" s="425"/>
      <c r="P186" s="425"/>
      <c r="Q186" s="425"/>
      <c r="R186" s="425"/>
      <c r="S186" s="417"/>
      <c r="T186" s="417"/>
      <c r="U186" s="534"/>
      <c r="V186" s="535">
        <f t="shared" ref="V186:Y187" si="27">V183/U183-1</f>
        <v>1</v>
      </c>
      <c r="W186" s="535">
        <f t="shared" si="27"/>
        <v>0.83333333333333326</v>
      </c>
      <c r="X186" s="535">
        <f t="shared" si="27"/>
        <v>0.27272727272727271</v>
      </c>
      <c r="Y186" s="535">
        <f t="shared" si="27"/>
        <v>0.28571428571428581</v>
      </c>
    </row>
    <row r="187" spans="9:27" ht="14.25">
      <c r="I187" s="426" t="s">
        <v>554</v>
      </c>
      <c r="J187" s="417"/>
      <c r="K187" s="417"/>
      <c r="L187" s="417"/>
      <c r="M187" s="467"/>
      <c r="N187" s="425"/>
      <c r="O187" s="425"/>
      <c r="P187" s="425"/>
      <c r="Q187" s="425"/>
      <c r="R187" s="425"/>
      <c r="S187" s="417"/>
      <c r="T187" s="417"/>
      <c r="U187" s="534"/>
      <c r="V187" s="535">
        <f t="shared" si="27"/>
        <v>4.2596803427253258</v>
      </c>
      <c r="W187" s="535">
        <f t="shared" si="27"/>
        <v>-0.13502083268068044</v>
      </c>
      <c r="X187" s="535">
        <f t="shared" si="27"/>
        <v>0.54213900257143899</v>
      </c>
      <c r="Y187" s="535">
        <f t="shared" si="27"/>
        <v>0.34809769844997662</v>
      </c>
    </row>
    <row r="188" spans="9:27" ht="14.25">
      <c r="I188" s="426" t="s">
        <v>555</v>
      </c>
      <c r="J188" s="417"/>
      <c r="K188" s="417"/>
      <c r="L188" s="417"/>
      <c r="M188" s="467"/>
      <c r="N188" s="425"/>
      <c r="O188" s="425"/>
      <c r="P188" s="425"/>
      <c r="Q188" s="425"/>
      <c r="R188" s="425"/>
      <c r="S188" s="417"/>
      <c r="T188" s="417"/>
      <c r="U188" s="534"/>
      <c r="V188" s="535"/>
      <c r="W188" s="535"/>
      <c r="X188" s="535"/>
      <c r="Y188" s="535">
        <f>Y183/U183-1</f>
        <v>5</v>
      </c>
    </row>
    <row r="189" spans="9:27" ht="14.25">
      <c r="I189" s="426" t="s">
        <v>556</v>
      </c>
      <c r="J189" s="417"/>
      <c r="K189" s="417"/>
      <c r="L189" s="417"/>
      <c r="M189" s="467"/>
      <c r="N189" s="425"/>
      <c r="O189" s="425"/>
      <c r="P189" s="425"/>
      <c r="Q189" s="425"/>
      <c r="R189" s="425"/>
      <c r="S189" s="417"/>
      <c r="T189" s="417"/>
      <c r="U189" s="534"/>
      <c r="V189" s="535"/>
      <c r="W189" s="535"/>
      <c r="X189" s="535"/>
      <c r="Y189" s="535">
        <f>Y184/U184-1</f>
        <v>8.4582303509639143</v>
      </c>
    </row>
    <row r="190" spans="9:27">
      <c r="I190" s="245"/>
      <c r="J190" s="65"/>
      <c r="K190" s="65"/>
      <c r="L190" s="65"/>
      <c r="M190" s="160"/>
      <c r="N190" s="63"/>
      <c r="O190" s="63"/>
      <c r="P190" s="63"/>
      <c r="Q190" s="63"/>
      <c r="R190" s="63"/>
      <c r="S190" s="65"/>
      <c r="T190" s="65"/>
      <c r="U190" s="65"/>
      <c r="V190" s="65"/>
      <c r="W190" s="65"/>
      <c r="X190" s="2"/>
      <c r="Y190" s="2"/>
    </row>
    <row r="191" spans="9:27">
      <c r="I191" s="71" t="s">
        <v>557</v>
      </c>
      <c r="J191" s="65"/>
      <c r="K191" s="65"/>
      <c r="L191" s="65"/>
      <c r="M191" s="160"/>
      <c r="N191" s="63"/>
      <c r="O191" s="63"/>
      <c r="P191" s="63"/>
      <c r="Q191" s="63"/>
      <c r="R191" s="63"/>
      <c r="S191" s="65"/>
      <c r="T191" s="65"/>
      <c r="U191" s="65"/>
      <c r="V191" s="65"/>
      <c r="W191" s="65"/>
      <c r="X191" s="2"/>
      <c r="Y191" s="2"/>
    </row>
    <row r="192" spans="9:27">
      <c r="I192" s="245" t="s">
        <v>558</v>
      </c>
      <c r="J192" s="65"/>
      <c r="K192" s="65"/>
      <c r="L192" s="65"/>
      <c r="M192" s="160"/>
      <c r="N192" s="63"/>
      <c r="O192" s="63"/>
      <c r="P192" s="63"/>
      <c r="Q192" s="63"/>
      <c r="R192" s="63"/>
      <c r="S192" s="65"/>
      <c r="T192" s="65"/>
      <c r="U192" s="65"/>
      <c r="V192" s="65"/>
      <c r="W192" s="65"/>
      <c r="X192" s="2"/>
      <c r="Y192" s="2"/>
    </row>
    <row r="193" spans="9:25">
      <c r="I193" s="245" t="s">
        <v>559</v>
      </c>
      <c r="J193" s="65"/>
      <c r="K193" s="65"/>
      <c r="L193" s="65"/>
      <c r="M193" s="160"/>
      <c r="N193" s="63"/>
      <c r="O193" s="63"/>
      <c r="P193" s="63"/>
      <c r="Q193" s="63"/>
      <c r="R193" s="63"/>
      <c r="S193" s="65"/>
      <c r="T193" s="65"/>
      <c r="U193" s="65"/>
      <c r="V193" s="65"/>
      <c r="W193" s="65"/>
      <c r="X193" s="2"/>
      <c r="Y193" s="2"/>
    </row>
    <row r="194" spans="9:25">
      <c r="I194" s="245" t="s">
        <v>560</v>
      </c>
      <c r="J194" s="65"/>
      <c r="K194" s="65"/>
      <c r="L194" s="65"/>
      <c r="M194" s="160"/>
      <c r="N194" s="63"/>
      <c r="O194" s="63"/>
      <c r="P194" s="63"/>
      <c r="Q194" s="63"/>
      <c r="R194" s="63"/>
      <c r="S194" s="65"/>
      <c r="T194" s="65"/>
      <c r="U194" s="65"/>
      <c r="V194" s="65"/>
      <c r="W194" s="65"/>
      <c r="X194" s="2"/>
      <c r="Y194" s="2"/>
    </row>
    <row r="195" spans="9:25">
      <c r="I195" s="245" t="s">
        <v>41</v>
      </c>
      <c r="J195" s="65"/>
      <c r="K195" s="65"/>
      <c r="L195" s="65"/>
      <c r="M195" s="160"/>
      <c r="N195" s="63"/>
      <c r="O195" s="63"/>
      <c r="P195" s="63"/>
      <c r="Q195" s="63"/>
      <c r="R195" s="63"/>
      <c r="S195" s="65"/>
      <c r="T195" s="65"/>
      <c r="U195" s="65"/>
      <c r="V195" s="65"/>
      <c r="W195" s="65"/>
      <c r="X195" s="2"/>
      <c r="Y195" s="2"/>
    </row>
    <row r="196" spans="9:25">
      <c r="I196" s="245" t="s">
        <v>21</v>
      </c>
      <c r="J196" s="65"/>
      <c r="K196" s="65"/>
      <c r="L196" s="65"/>
      <c r="M196" s="160"/>
      <c r="N196" s="63"/>
      <c r="O196" s="63"/>
      <c r="P196" s="63"/>
      <c r="Q196" s="63"/>
      <c r="R196" s="63"/>
      <c r="S196" s="65"/>
      <c r="T196" s="65"/>
      <c r="U196" s="65"/>
      <c r="V196" s="65"/>
      <c r="W196" s="65"/>
      <c r="X196" s="2"/>
      <c r="Y196" s="2"/>
    </row>
    <row r="197" spans="9:25">
      <c r="I197" s="245"/>
      <c r="J197" s="65"/>
      <c r="K197" s="65"/>
      <c r="L197" s="65"/>
      <c r="M197" s="160"/>
      <c r="N197" s="63"/>
      <c r="O197" s="63"/>
      <c r="P197" s="63"/>
      <c r="Q197" s="63"/>
      <c r="R197" s="63"/>
      <c r="S197" s="65"/>
      <c r="T197" s="65"/>
      <c r="U197" s="65"/>
      <c r="V197" s="65"/>
      <c r="W197" s="65"/>
      <c r="X197" s="2"/>
      <c r="Y197" s="2"/>
    </row>
    <row r="198" spans="9:25">
      <c r="I198" s="71" t="s">
        <v>561</v>
      </c>
      <c r="J198" s="65"/>
      <c r="K198" s="65"/>
      <c r="L198" s="65"/>
      <c r="M198" s="160"/>
      <c r="N198" s="63"/>
      <c r="O198" s="63"/>
      <c r="P198" s="63"/>
      <c r="Q198" s="63"/>
      <c r="R198" s="63"/>
      <c r="S198" s="65"/>
      <c r="T198" s="65"/>
      <c r="U198" s="65"/>
      <c r="V198" s="65"/>
      <c r="W198" s="65"/>
      <c r="X198" s="2"/>
      <c r="Y198" s="2"/>
    </row>
    <row r="199" spans="9:25">
      <c r="I199" s="245" t="s">
        <v>562</v>
      </c>
      <c r="J199" s="65"/>
      <c r="K199" s="65"/>
      <c r="L199" s="65"/>
      <c r="M199" s="160"/>
      <c r="N199" s="63"/>
      <c r="O199" s="63"/>
      <c r="P199" s="63"/>
      <c r="Q199" s="63"/>
      <c r="R199" s="63"/>
      <c r="S199" s="65"/>
      <c r="T199" s="65"/>
      <c r="U199" s="65"/>
      <c r="V199" s="65"/>
      <c r="W199" s="65"/>
      <c r="X199" s="2"/>
      <c r="Y199" s="2"/>
    </row>
    <row r="200" spans="9:25">
      <c r="I200" s="245" t="s">
        <v>563</v>
      </c>
      <c r="J200" s="65"/>
      <c r="K200" s="65"/>
      <c r="L200" s="65"/>
      <c r="M200" s="160"/>
      <c r="N200" s="63"/>
      <c r="O200" s="63"/>
      <c r="P200" s="63"/>
      <c r="Q200" s="63"/>
      <c r="R200" s="63"/>
      <c r="S200" s="65"/>
      <c r="T200" s="65"/>
      <c r="U200" s="65"/>
      <c r="V200" s="65"/>
      <c r="W200" s="65"/>
      <c r="X200" s="2"/>
      <c r="Y200" s="2"/>
    </row>
    <row r="201" spans="9:25">
      <c r="I201" s="245" t="s">
        <v>564</v>
      </c>
      <c r="J201" s="65"/>
      <c r="K201" s="65"/>
      <c r="L201" s="65"/>
      <c r="M201" s="160"/>
      <c r="N201" s="63"/>
      <c r="O201" s="63"/>
      <c r="P201" s="63"/>
      <c r="Q201" s="63"/>
      <c r="R201" s="63"/>
      <c r="S201" s="65"/>
      <c r="T201" s="65"/>
      <c r="U201" s="65"/>
      <c r="V201" s="65"/>
      <c r="W201" s="65"/>
      <c r="X201" s="2"/>
      <c r="Y201" s="2"/>
    </row>
    <row r="202" spans="9:25">
      <c r="I202" s="245" t="s">
        <v>565</v>
      </c>
      <c r="J202" s="65"/>
      <c r="K202" s="65"/>
      <c r="L202" s="65"/>
      <c r="M202" s="160"/>
      <c r="N202" s="63"/>
      <c r="O202" s="63"/>
      <c r="P202" s="63"/>
      <c r="Q202" s="63"/>
      <c r="R202" s="63"/>
      <c r="S202" s="65"/>
      <c r="T202" s="65"/>
      <c r="U202" s="65"/>
      <c r="V202" s="65"/>
      <c r="W202" s="65"/>
      <c r="X202" s="2"/>
      <c r="Y202" s="2"/>
    </row>
    <row r="203" spans="9:25">
      <c r="I203" s="245" t="s">
        <v>566</v>
      </c>
      <c r="J203" s="65"/>
      <c r="K203" s="65"/>
      <c r="L203" s="65"/>
      <c r="M203" s="160"/>
      <c r="N203" s="63"/>
      <c r="O203" s="63"/>
      <c r="P203" s="63"/>
      <c r="Q203" s="63"/>
      <c r="R203" s="63"/>
      <c r="S203" s="65"/>
      <c r="T203" s="65"/>
      <c r="U203" s="65"/>
      <c r="V203" s="65"/>
      <c r="W203" s="65"/>
      <c r="X203" s="2"/>
      <c r="Y203" s="2"/>
    </row>
    <row r="204" spans="9:25">
      <c r="I204" s="245"/>
      <c r="J204" s="65"/>
      <c r="K204" s="65"/>
      <c r="L204" s="65"/>
      <c r="M204" s="160"/>
      <c r="N204" s="63"/>
      <c r="O204" s="63"/>
      <c r="P204" s="63"/>
      <c r="Q204" s="63"/>
      <c r="R204" s="63"/>
      <c r="S204" s="65"/>
      <c r="T204" s="65"/>
      <c r="U204" s="65"/>
      <c r="V204" s="65"/>
      <c r="W204" s="65"/>
      <c r="X204" s="2"/>
      <c r="Y204" s="2"/>
    </row>
    <row r="205" spans="9:25">
      <c r="I205" s="71" t="s">
        <v>65</v>
      </c>
      <c r="J205" s="65"/>
      <c r="K205" s="65"/>
      <c r="L205" s="65"/>
      <c r="M205" s="160"/>
      <c r="N205" s="63"/>
      <c r="O205" s="63"/>
      <c r="P205" s="63"/>
      <c r="Q205" s="63"/>
      <c r="R205" s="63"/>
      <c r="S205" s="65"/>
      <c r="T205" s="65"/>
      <c r="U205" s="65"/>
      <c r="V205" s="65"/>
      <c r="W205" s="65"/>
      <c r="X205" s="2"/>
      <c r="Y205" s="2"/>
    </row>
    <row r="206" spans="9:25">
      <c r="I206" s="245" t="s">
        <v>567</v>
      </c>
      <c r="J206" s="65"/>
      <c r="K206" s="65"/>
      <c r="L206" s="65"/>
      <c r="M206" s="160"/>
      <c r="N206" s="63"/>
      <c r="O206" s="63"/>
      <c r="P206" s="63"/>
      <c r="Q206" s="63"/>
      <c r="R206" s="63"/>
      <c r="S206" s="65"/>
      <c r="T206" s="65"/>
      <c r="U206" s="65"/>
      <c r="V206" s="65"/>
      <c r="W206" s="65"/>
      <c r="X206" s="2"/>
      <c r="Y206" s="2"/>
    </row>
    <row r="207" spans="9:25">
      <c r="I207" s="245" t="s">
        <v>23</v>
      </c>
      <c r="J207" s="65"/>
      <c r="K207" s="65"/>
      <c r="L207" s="65"/>
      <c r="M207" s="160"/>
      <c r="N207" s="63"/>
      <c r="O207" s="63"/>
      <c r="P207" s="63"/>
      <c r="Q207" s="63"/>
      <c r="R207" s="63"/>
      <c r="S207" s="65"/>
      <c r="T207" s="65"/>
      <c r="U207" s="65"/>
      <c r="V207" s="65"/>
      <c r="W207" s="65"/>
      <c r="X207" s="2"/>
      <c r="Y207" s="2"/>
    </row>
    <row r="208" spans="9:25">
      <c r="I208" s="245" t="s">
        <v>24</v>
      </c>
      <c r="J208" s="65"/>
      <c r="K208" s="65"/>
      <c r="L208" s="65"/>
      <c r="M208" s="160"/>
      <c r="N208" s="63"/>
      <c r="O208" s="63"/>
      <c r="P208" s="63"/>
      <c r="Q208" s="63"/>
      <c r="R208" s="63"/>
      <c r="S208" s="65"/>
      <c r="T208" s="65"/>
      <c r="U208" s="65"/>
      <c r="V208" s="65"/>
      <c r="W208" s="65"/>
      <c r="X208" s="2"/>
      <c r="Y208" s="2"/>
    </row>
    <row r="209" spans="9:25">
      <c r="I209" s="245" t="s">
        <v>21</v>
      </c>
      <c r="J209" s="65"/>
      <c r="K209" s="65"/>
      <c r="L209" s="65"/>
      <c r="M209" s="160"/>
      <c r="N209" s="63"/>
      <c r="O209" s="63"/>
      <c r="P209" s="63"/>
      <c r="Q209" s="63"/>
      <c r="R209" s="63"/>
      <c r="S209" s="65"/>
      <c r="T209" s="65"/>
      <c r="U209" s="65"/>
      <c r="V209" s="65"/>
      <c r="W209" s="65"/>
      <c r="X209" s="2"/>
      <c r="Y209" s="2"/>
    </row>
    <row r="210" spans="9:25">
      <c r="I210" s="245"/>
      <c r="J210" s="65"/>
      <c r="K210" s="65"/>
      <c r="L210" s="65"/>
      <c r="M210" s="160"/>
      <c r="N210" s="63"/>
      <c r="O210" s="63"/>
      <c r="P210" s="63"/>
      <c r="Q210" s="63"/>
      <c r="R210" s="63"/>
      <c r="S210" s="65"/>
      <c r="T210" s="65"/>
      <c r="U210" s="65"/>
      <c r="V210" s="65"/>
      <c r="W210" s="65"/>
      <c r="X210" s="2"/>
      <c r="Y210" s="2"/>
    </row>
    <row r="211" spans="9:25">
      <c r="I211" s="71" t="s">
        <v>568</v>
      </c>
      <c r="J211" s="65"/>
      <c r="K211" s="65"/>
      <c r="L211" s="65"/>
      <c r="M211" s="160"/>
      <c r="N211" s="63"/>
      <c r="O211" s="63"/>
      <c r="P211" s="63"/>
      <c r="Q211" s="63"/>
      <c r="R211" s="63"/>
      <c r="S211" s="65"/>
      <c r="T211" s="65"/>
      <c r="U211" s="65"/>
      <c r="V211" s="65"/>
      <c r="W211" s="65"/>
      <c r="X211" s="2"/>
      <c r="Y211" s="2"/>
    </row>
    <row r="212" spans="9:25" ht="14.25">
      <c r="I212" s="404" t="s">
        <v>569</v>
      </c>
      <c r="J212" s="65"/>
      <c r="K212" s="65"/>
      <c r="L212" s="65"/>
      <c r="M212" s="160"/>
      <c r="N212" s="63"/>
      <c r="O212" s="63"/>
      <c r="P212" s="63"/>
      <c r="Q212" s="63"/>
      <c r="R212" s="63"/>
      <c r="S212" s="65"/>
      <c r="T212" s="65"/>
      <c r="U212" s="65"/>
      <c r="V212" s="65"/>
      <c r="W212" s="65"/>
      <c r="X212" s="2"/>
      <c r="Y212" s="2"/>
    </row>
    <row r="213" spans="9:25" ht="14.25">
      <c r="I213" s="404" t="s">
        <v>570</v>
      </c>
      <c r="J213" s="65"/>
      <c r="K213" s="65"/>
      <c r="L213" s="65"/>
      <c r="M213" s="160"/>
      <c r="N213" s="63"/>
      <c r="O213" s="63"/>
      <c r="P213" s="63"/>
      <c r="Q213" s="63"/>
      <c r="R213" s="63"/>
      <c r="S213" s="65"/>
      <c r="T213" s="65"/>
      <c r="U213" s="65"/>
      <c r="V213" s="65"/>
      <c r="W213" s="65"/>
      <c r="X213" s="2"/>
      <c r="Y213" s="2"/>
    </row>
    <row r="214" spans="9:25" ht="14.25">
      <c r="I214" s="404" t="s">
        <v>21</v>
      </c>
      <c r="J214" s="65"/>
      <c r="K214" s="65"/>
      <c r="L214" s="65"/>
      <c r="M214" s="160"/>
      <c r="N214" s="63"/>
      <c r="O214" s="63"/>
      <c r="P214" s="63"/>
      <c r="Q214" s="63"/>
      <c r="R214" s="63"/>
      <c r="S214" s="65"/>
      <c r="T214" s="65"/>
      <c r="U214" s="65"/>
      <c r="V214" s="65"/>
      <c r="W214" s="65"/>
      <c r="X214" s="2"/>
      <c r="Y214" s="2"/>
    </row>
    <row r="215" spans="9:25" ht="14.25">
      <c r="I215" s="404"/>
      <c r="J215" s="65"/>
      <c r="K215" s="65"/>
      <c r="L215" s="65"/>
      <c r="M215" s="160"/>
      <c r="N215" s="63"/>
      <c r="O215" s="63"/>
      <c r="P215" s="63"/>
      <c r="Q215" s="63"/>
      <c r="R215" s="63"/>
      <c r="S215" s="65"/>
      <c r="T215" s="65"/>
      <c r="U215" s="65"/>
      <c r="V215" s="65"/>
      <c r="W215" s="65"/>
      <c r="X215" s="2"/>
      <c r="Y215" s="2"/>
    </row>
    <row r="216" spans="9:25">
      <c r="I216" s="71" t="s">
        <v>571</v>
      </c>
      <c r="J216" s="65"/>
      <c r="K216" s="65"/>
      <c r="L216" s="65"/>
      <c r="M216" s="160"/>
      <c r="N216" s="63"/>
      <c r="O216" s="63"/>
      <c r="P216" s="63"/>
      <c r="Q216" s="63"/>
      <c r="R216" s="63"/>
      <c r="S216" s="65"/>
      <c r="T216" s="65"/>
      <c r="U216" s="65"/>
      <c r="V216" s="65"/>
      <c r="W216" s="65"/>
      <c r="X216" s="2"/>
      <c r="Y216" s="2"/>
    </row>
    <row r="217" spans="9:25" ht="14.25">
      <c r="I217" s="404" t="s">
        <v>572</v>
      </c>
      <c r="J217" s="65"/>
      <c r="K217" s="65"/>
      <c r="L217" s="65"/>
      <c r="M217" s="160"/>
      <c r="N217" s="63"/>
      <c r="O217" s="63"/>
      <c r="P217" s="63"/>
      <c r="Q217" s="63"/>
      <c r="R217" s="63"/>
      <c r="S217" s="65"/>
      <c r="T217" s="65"/>
      <c r="U217" s="65"/>
      <c r="V217" s="65"/>
      <c r="W217" s="65"/>
      <c r="X217" s="2"/>
      <c r="Y217" s="2"/>
    </row>
    <row r="218" spans="9:25" ht="14.25">
      <c r="I218" s="404" t="s">
        <v>573</v>
      </c>
      <c r="J218" s="65"/>
      <c r="K218" s="65"/>
      <c r="L218" s="65"/>
      <c r="M218" s="160"/>
      <c r="N218" s="63"/>
      <c r="O218" s="63"/>
      <c r="P218" s="63"/>
      <c r="Q218" s="63"/>
      <c r="R218" s="63"/>
      <c r="S218" s="65"/>
      <c r="T218" s="65"/>
      <c r="U218" s="65"/>
      <c r="V218" s="65"/>
      <c r="W218" s="65"/>
      <c r="X218" s="2"/>
      <c r="Y218" s="2"/>
    </row>
    <row r="219" spans="9:25" ht="14.25">
      <c r="I219" s="404" t="s">
        <v>574</v>
      </c>
      <c r="J219" s="65"/>
      <c r="K219" s="65"/>
      <c r="L219" s="65"/>
      <c r="M219" s="160"/>
      <c r="N219" s="63"/>
      <c r="O219" s="63"/>
      <c r="P219" s="63"/>
      <c r="Q219" s="63"/>
      <c r="R219" s="63"/>
      <c r="S219" s="65"/>
      <c r="T219" s="65"/>
      <c r="U219" s="65"/>
      <c r="V219" s="65"/>
      <c r="W219" s="65"/>
      <c r="X219" s="2"/>
      <c r="Y219" s="2"/>
    </row>
    <row r="220" spans="9:25" ht="14.25">
      <c r="I220" s="404" t="s">
        <v>575</v>
      </c>
      <c r="J220" s="65"/>
      <c r="K220" s="65"/>
      <c r="L220" s="65"/>
      <c r="M220" s="160"/>
      <c r="N220" s="63"/>
      <c r="O220" s="63"/>
      <c r="P220" s="63"/>
      <c r="Q220" s="63"/>
      <c r="R220" s="63"/>
      <c r="S220" s="65"/>
      <c r="T220" s="65"/>
      <c r="U220" s="65"/>
      <c r="V220" s="65"/>
      <c r="W220" s="65"/>
      <c r="X220" s="2"/>
      <c r="Y220" s="2"/>
    </row>
    <row r="221" spans="9:25" ht="14.25">
      <c r="I221" s="404" t="s">
        <v>576</v>
      </c>
      <c r="J221" s="65"/>
      <c r="K221" s="65"/>
      <c r="L221" s="65"/>
      <c r="M221" s="160"/>
      <c r="N221" s="63"/>
      <c r="O221" s="63"/>
      <c r="P221" s="63"/>
      <c r="Q221" s="63"/>
      <c r="R221" s="63"/>
      <c r="S221" s="65"/>
      <c r="T221" s="65"/>
      <c r="U221" s="65"/>
      <c r="V221" s="65"/>
      <c r="W221" s="65"/>
      <c r="X221" s="2"/>
      <c r="Y221" s="2"/>
    </row>
    <row r="222" spans="9:25" ht="14.25">
      <c r="I222" s="404" t="s">
        <v>577</v>
      </c>
      <c r="J222" s="65"/>
      <c r="K222" s="65"/>
      <c r="L222" s="65"/>
      <c r="M222" s="160"/>
      <c r="N222" s="63"/>
      <c r="O222" s="63"/>
      <c r="P222" s="63"/>
      <c r="Q222" s="63"/>
      <c r="R222" s="63"/>
      <c r="S222" s="65"/>
      <c r="T222" s="65"/>
      <c r="U222" s="65"/>
      <c r="V222" s="65"/>
      <c r="W222" s="65"/>
      <c r="X222" s="2"/>
      <c r="Y222" s="2"/>
    </row>
    <row r="223" spans="9:25" ht="14.25">
      <c r="I223" s="404"/>
      <c r="J223" s="65"/>
      <c r="K223" s="65"/>
      <c r="L223" s="65"/>
      <c r="M223" s="160"/>
      <c r="N223" s="63"/>
      <c r="O223" s="63"/>
      <c r="P223" s="63"/>
      <c r="Q223" s="63"/>
      <c r="R223" s="63"/>
      <c r="S223" s="65"/>
      <c r="T223" s="65"/>
      <c r="U223" s="65"/>
      <c r="V223" s="65"/>
      <c r="W223" s="65"/>
      <c r="X223" s="2"/>
      <c r="Y223" s="2"/>
    </row>
    <row r="224" spans="9:25">
      <c r="I224" s="71" t="s">
        <v>578</v>
      </c>
      <c r="J224" s="65"/>
      <c r="K224" s="65"/>
      <c r="L224" s="65"/>
      <c r="M224" s="160"/>
      <c r="N224" s="63"/>
      <c r="O224" s="63"/>
      <c r="P224" s="63"/>
      <c r="Q224" s="63"/>
      <c r="R224" s="63"/>
      <c r="S224" s="65"/>
      <c r="T224" s="65"/>
      <c r="U224" s="65"/>
      <c r="V224" s="65"/>
      <c r="W224" s="65"/>
      <c r="X224" s="2"/>
      <c r="Y224" s="2"/>
    </row>
    <row r="225" spans="9:25" ht="14.25">
      <c r="I225" s="404" t="s">
        <v>20</v>
      </c>
      <c r="J225" s="65"/>
      <c r="K225" s="65"/>
      <c r="L225" s="65"/>
      <c r="M225" s="160"/>
      <c r="N225" s="63"/>
      <c r="O225" s="63"/>
      <c r="P225" s="63"/>
      <c r="Q225" s="63"/>
      <c r="R225" s="63"/>
      <c r="S225" s="65"/>
      <c r="T225" s="65"/>
      <c r="U225" s="65"/>
      <c r="V225" s="65"/>
      <c r="W225" s="65"/>
      <c r="X225" s="2"/>
      <c r="Y225" s="2"/>
    </row>
    <row r="226" spans="9:25" ht="14.25">
      <c r="I226" s="404" t="s">
        <v>227</v>
      </c>
      <c r="J226" s="65"/>
      <c r="K226" s="65"/>
      <c r="L226" s="65"/>
      <c r="M226" s="160"/>
      <c r="N226" s="63"/>
      <c r="O226" s="63"/>
      <c r="P226" s="63"/>
      <c r="Q226" s="63"/>
      <c r="R226" s="63"/>
      <c r="S226" s="65"/>
      <c r="T226" s="65"/>
      <c r="U226" s="65"/>
      <c r="V226" s="65"/>
      <c r="W226" s="65"/>
      <c r="X226" s="2"/>
      <c r="Y226" s="2"/>
    </row>
    <row r="227" spans="9:25" ht="14.25">
      <c r="I227" s="404" t="s">
        <v>15</v>
      </c>
      <c r="J227" s="65"/>
      <c r="K227" s="65"/>
      <c r="L227" s="65"/>
      <c r="M227" s="160"/>
      <c r="N227" s="63"/>
      <c r="O227" s="63"/>
      <c r="P227" s="63"/>
      <c r="Q227" s="63"/>
      <c r="R227" s="63"/>
      <c r="S227" s="65"/>
      <c r="T227" s="65"/>
      <c r="U227" s="65"/>
      <c r="V227" s="65"/>
      <c r="W227" s="65"/>
      <c r="X227" s="2"/>
      <c r="Y227" s="2"/>
    </row>
    <row r="228" spans="9:25" ht="14.25">
      <c r="I228" s="404" t="s">
        <v>16</v>
      </c>
      <c r="J228" s="65"/>
      <c r="K228" s="65"/>
      <c r="L228" s="65"/>
      <c r="M228" s="160"/>
      <c r="N228" s="63"/>
      <c r="O228" s="63"/>
      <c r="P228" s="63"/>
      <c r="Q228" s="63"/>
      <c r="R228" s="63"/>
      <c r="S228" s="65"/>
      <c r="T228" s="65"/>
      <c r="U228" s="65"/>
      <c r="V228" s="65"/>
      <c r="W228" s="65"/>
      <c r="X228" s="2"/>
      <c r="Y228" s="2"/>
    </row>
    <row r="229" spans="9:25" ht="14.25">
      <c r="I229" s="404" t="s">
        <v>19</v>
      </c>
      <c r="J229" s="65"/>
      <c r="K229" s="65"/>
      <c r="L229" s="65"/>
      <c r="M229" s="160"/>
      <c r="N229" s="63"/>
      <c r="O229" s="63"/>
      <c r="P229" s="63"/>
      <c r="Q229" s="63"/>
      <c r="R229" s="63"/>
      <c r="S229" s="65"/>
      <c r="T229" s="65"/>
      <c r="U229" s="65"/>
      <c r="V229" s="65"/>
      <c r="W229" s="65"/>
      <c r="X229" s="2"/>
      <c r="Y229" s="2"/>
    </row>
    <row r="230" spans="9:25" ht="14.25">
      <c r="I230" s="404"/>
      <c r="J230" s="65"/>
      <c r="K230" s="65"/>
      <c r="L230" s="65"/>
      <c r="M230" s="160"/>
      <c r="N230" s="63"/>
      <c r="O230" s="63"/>
      <c r="P230" s="63"/>
      <c r="Q230" s="63"/>
      <c r="R230" s="63"/>
      <c r="S230" s="65"/>
      <c r="T230" s="65"/>
      <c r="U230" s="65"/>
      <c r="V230" s="65"/>
      <c r="W230" s="65"/>
      <c r="X230" s="2"/>
      <c r="Y230" s="2"/>
    </row>
    <row r="231" spans="9:25">
      <c r="I231" s="71" t="s">
        <v>578</v>
      </c>
      <c r="J231" s="65"/>
      <c r="K231" s="65"/>
      <c r="L231" s="65"/>
      <c r="M231" s="160"/>
      <c r="N231" s="63"/>
      <c r="O231" s="63"/>
      <c r="P231" s="63"/>
      <c r="Q231" s="63"/>
      <c r="R231" s="63"/>
      <c r="S231" s="65"/>
      <c r="T231" s="65"/>
      <c r="U231" s="65"/>
      <c r="V231" s="65"/>
      <c r="W231" s="65"/>
      <c r="X231" s="2"/>
      <c r="Y231" s="2"/>
    </row>
    <row r="232" spans="9:25" ht="14.25">
      <c r="I232" s="404" t="s">
        <v>20</v>
      </c>
      <c r="J232" s="65"/>
      <c r="K232" s="65"/>
      <c r="L232" s="65"/>
      <c r="M232" s="160"/>
      <c r="N232" s="63"/>
      <c r="O232" s="63"/>
      <c r="P232" s="63"/>
      <c r="Q232" s="63"/>
      <c r="R232" s="63"/>
      <c r="S232" s="65"/>
      <c r="T232" s="65"/>
      <c r="U232" s="65"/>
      <c r="V232" s="65"/>
      <c r="W232" s="65"/>
      <c r="X232" s="2"/>
      <c r="Y232" s="2"/>
    </row>
    <row r="233" spans="9:25" ht="14.25">
      <c r="I233" s="404" t="s">
        <v>227</v>
      </c>
      <c r="J233" s="65"/>
      <c r="K233" s="65"/>
      <c r="L233" s="65"/>
      <c r="M233" s="160"/>
      <c r="N233" s="63"/>
      <c r="O233" s="63"/>
      <c r="P233" s="63"/>
      <c r="Q233" s="63"/>
      <c r="R233" s="63"/>
      <c r="S233" s="65"/>
      <c r="T233" s="65"/>
      <c r="U233" s="65"/>
      <c r="V233" s="65"/>
      <c r="W233" s="65"/>
      <c r="X233" s="2"/>
      <c r="Y233" s="2"/>
    </row>
    <row r="234" spans="9:25" ht="14.25">
      <c r="I234" s="404" t="s">
        <v>15</v>
      </c>
      <c r="J234" s="65"/>
      <c r="K234" s="65"/>
      <c r="L234" s="65"/>
      <c r="M234" s="160"/>
      <c r="N234" s="63"/>
      <c r="O234" s="63"/>
      <c r="P234" s="63"/>
      <c r="Q234" s="63"/>
      <c r="R234" s="63"/>
      <c r="S234" s="65"/>
      <c r="T234" s="65"/>
      <c r="U234" s="65"/>
      <c r="V234" s="65"/>
      <c r="W234" s="65"/>
      <c r="X234" s="2"/>
      <c r="Y234" s="2"/>
    </row>
    <row r="235" spans="9:25" ht="14.25">
      <c r="I235" s="404" t="s">
        <v>16</v>
      </c>
      <c r="J235" s="65"/>
      <c r="K235" s="65"/>
      <c r="L235" s="65"/>
      <c r="M235" s="160"/>
      <c r="N235" s="63"/>
      <c r="O235" s="63"/>
      <c r="P235" s="63"/>
      <c r="Q235" s="63"/>
      <c r="R235" s="63"/>
      <c r="S235" s="65"/>
      <c r="T235" s="65"/>
      <c r="U235" s="65"/>
      <c r="V235" s="65"/>
      <c r="W235" s="65"/>
      <c r="X235" s="2"/>
      <c r="Y235" s="2"/>
    </row>
    <row r="236" spans="9:25" ht="14.25">
      <c r="I236" s="404" t="s">
        <v>19</v>
      </c>
      <c r="J236" s="65"/>
      <c r="K236" s="65"/>
      <c r="L236" s="65"/>
      <c r="M236" s="160"/>
      <c r="N236" s="63"/>
      <c r="O236" s="63"/>
      <c r="P236" s="63"/>
      <c r="Q236" s="63"/>
      <c r="R236" s="63"/>
      <c r="S236" s="65"/>
      <c r="T236" s="65"/>
      <c r="U236" s="65"/>
      <c r="V236" s="65"/>
      <c r="W236" s="65"/>
      <c r="X236" s="2"/>
      <c r="Y236" s="2"/>
    </row>
    <row r="237" spans="9:25" ht="14.25">
      <c r="I237" s="404"/>
      <c r="J237" s="65"/>
      <c r="K237" s="65"/>
      <c r="L237" s="65"/>
      <c r="M237" s="160"/>
      <c r="N237" s="63"/>
      <c r="O237" s="63"/>
      <c r="P237" s="63"/>
      <c r="Q237" s="63"/>
      <c r="R237" s="63"/>
      <c r="S237" s="65"/>
      <c r="T237" s="65"/>
      <c r="U237" s="65"/>
      <c r="V237" s="65"/>
      <c r="W237" s="65"/>
      <c r="X237" s="2"/>
      <c r="Y237" s="2"/>
    </row>
    <row r="238" spans="9:25">
      <c r="I238" s="71" t="s">
        <v>578</v>
      </c>
      <c r="J238" s="65"/>
      <c r="K238" s="65"/>
      <c r="L238" s="65"/>
      <c r="M238" s="160"/>
      <c r="N238" s="63"/>
      <c r="O238" s="63"/>
      <c r="P238" s="63"/>
      <c r="Q238" s="63"/>
      <c r="R238" s="63"/>
      <c r="S238" s="65"/>
      <c r="T238" s="65"/>
      <c r="U238" s="65"/>
      <c r="V238" s="65"/>
      <c r="W238" s="65"/>
      <c r="X238" s="2"/>
      <c r="Y238" s="2"/>
    </row>
    <row r="239" spans="9:25" ht="14.25">
      <c r="I239" s="404" t="s">
        <v>579</v>
      </c>
      <c r="J239" s="65"/>
      <c r="K239" s="65"/>
      <c r="L239" s="65"/>
      <c r="M239" s="160"/>
      <c r="N239" s="63"/>
      <c r="O239" s="63"/>
      <c r="P239" s="63"/>
      <c r="Q239" s="63"/>
      <c r="R239" s="63"/>
      <c r="S239" s="65"/>
      <c r="T239" s="65"/>
      <c r="U239" s="65"/>
      <c r="V239" s="65"/>
      <c r="W239" s="65"/>
      <c r="X239" s="2"/>
      <c r="Y239" s="2"/>
    </row>
    <row r="240" spans="9:25" ht="14.25">
      <c r="I240" s="404" t="s">
        <v>227</v>
      </c>
      <c r="J240" s="65"/>
      <c r="K240" s="65"/>
      <c r="L240" s="65"/>
      <c r="M240" s="160"/>
      <c r="N240" s="63"/>
      <c r="O240" s="63"/>
      <c r="P240" s="63"/>
      <c r="Q240" s="63"/>
      <c r="R240" s="63"/>
      <c r="S240" s="65"/>
      <c r="T240" s="65"/>
      <c r="U240" s="65"/>
      <c r="V240" s="65"/>
      <c r="W240" s="65"/>
      <c r="X240" s="2"/>
      <c r="Y240" s="2"/>
    </row>
    <row r="241" spans="9:25" ht="14.25">
      <c r="I241" s="404" t="s">
        <v>19</v>
      </c>
      <c r="J241" s="65"/>
      <c r="K241" s="65"/>
      <c r="L241" s="65"/>
      <c r="M241" s="160"/>
      <c r="N241" s="63"/>
      <c r="O241" s="63"/>
      <c r="P241" s="63"/>
      <c r="Q241" s="63"/>
      <c r="R241" s="63"/>
      <c r="S241" s="65"/>
      <c r="T241" s="65"/>
      <c r="U241" s="65"/>
      <c r="V241" s="65"/>
      <c r="W241" s="65"/>
      <c r="X241" s="2"/>
      <c r="Y241" s="2"/>
    </row>
    <row r="242" spans="9:25" ht="14.25">
      <c r="I242" s="404" t="s">
        <v>21</v>
      </c>
      <c r="J242" s="65"/>
      <c r="K242" s="65"/>
      <c r="L242" s="65"/>
      <c r="M242" s="160"/>
      <c r="N242" s="63"/>
      <c r="O242" s="63"/>
      <c r="P242" s="63"/>
      <c r="Q242" s="63"/>
      <c r="R242" s="63"/>
      <c r="S242" s="65"/>
      <c r="T242" s="65"/>
      <c r="U242" s="65"/>
      <c r="V242" s="65"/>
      <c r="W242" s="65"/>
      <c r="X242" s="2"/>
      <c r="Y242" s="2"/>
    </row>
    <row r="243" spans="9:25" ht="14.25">
      <c r="I243" s="404"/>
      <c r="J243" s="65"/>
      <c r="K243" s="65"/>
      <c r="L243" s="65"/>
      <c r="M243" s="160"/>
      <c r="N243" s="63"/>
      <c r="O243" s="63"/>
      <c r="P243" s="63"/>
      <c r="Q243" s="63"/>
      <c r="R243" s="63"/>
      <c r="S243" s="65"/>
      <c r="T243" s="65"/>
      <c r="U243" s="65"/>
      <c r="V243" s="65"/>
      <c r="W243" s="65"/>
      <c r="X243" s="2"/>
      <c r="Y243" s="2"/>
    </row>
    <row r="244" spans="9:25">
      <c r="I244" s="71" t="s">
        <v>580</v>
      </c>
      <c r="J244" s="65"/>
      <c r="K244" s="65"/>
      <c r="L244" s="65"/>
      <c r="M244" s="160"/>
      <c r="N244" s="63"/>
      <c r="O244" s="63"/>
      <c r="P244" s="63"/>
      <c r="Q244" s="63"/>
      <c r="R244" s="63"/>
      <c r="S244" s="65"/>
      <c r="T244" s="65"/>
      <c r="U244" s="65"/>
      <c r="V244" s="65"/>
      <c r="W244" s="65"/>
      <c r="X244" s="2"/>
      <c r="Y244" s="2"/>
    </row>
    <row r="245" spans="9:25" ht="14.25">
      <c r="I245" s="404" t="s">
        <v>49</v>
      </c>
      <c r="J245" s="65"/>
      <c r="K245" s="65"/>
      <c r="L245" s="65"/>
      <c r="M245" s="160"/>
      <c r="N245" s="63"/>
      <c r="O245" s="63"/>
      <c r="P245" s="63"/>
      <c r="Q245" s="63"/>
      <c r="R245" s="63"/>
      <c r="S245" s="65"/>
      <c r="T245" s="65"/>
      <c r="U245" s="65"/>
      <c r="V245" s="65"/>
      <c r="W245" s="65"/>
      <c r="X245" s="2"/>
      <c r="Y245" s="2"/>
    </row>
    <row r="246" spans="9:25" ht="14.25">
      <c r="I246" s="404" t="s">
        <v>50</v>
      </c>
      <c r="J246" s="65"/>
      <c r="K246" s="65"/>
      <c r="L246" s="65"/>
      <c r="M246" s="160"/>
      <c r="N246" s="63"/>
      <c r="O246" s="63"/>
      <c r="P246" s="63"/>
      <c r="Q246" s="63"/>
      <c r="R246" s="63"/>
      <c r="S246" s="65"/>
      <c r="T246" s="65"/>
      <c r="U246" s="65"/>
      <c r="V246" s="65"/>
      <c r="W246" s="65"/>
      <c r="X246" s="2"/>
      <c r="Y246" s="2"/>
    </row>
    <row r="247" spans="9:25" ht="14.25">
      <c r="I247" s="404" t="s">
        <v>51</v>
      </c>
      <c r="J247" s="65"/>
      <c r="K247" s="65"/>
      <c r="L247" s="65"/>
      <c r="M247" s="160"/>
      <c r="N247" s="63"/>
      <c r="O247" s="63"/>
      <c r="P247" s="63"/>
      <c r="Q247" s="63"/>
      <c r="R247" s="63"/>
      <c r="S247" s="65"/>
      <c r="T247" s="65"/>
      <c r="U247" s="65"/>
      <c r="V247" s="65"/>
      <c r="W247" s="65"/>
      <c r="X247" s="2"/>
      <c r="Y247" s="2"/>
    </row>
    <row r="248" spans="9:25" ht="14.25">
      <c r="I248" s="404" t="s">
        <v>52</v>
      </c>
      <c r="J248" s="65"/>
      <c r="K248" s="65"/>
      <c r="L248" s="65"/>
      <c r="M248" s="160"/>
      <c r="N248" s="63"/>
      <c r="O248" s="63"/>
      <c r="P248" s="63"/>
      <c r="Q248" s="63"/>
      <c r="R248" s="63"/>
      <c r="S248" s="65"/>
      <c r="T248" s="65"/>
      <c r="U248" s="65"/>
      <c r="V248" s="65"/>
      <c r="W248" s="65"/>
      <c r="X248" s="2"/>
      <c r="Y248" s="2"/>
    </row>
    <row r="249" spans="9:25" ht="14.25">
      <c r="I249" s="404" t="s">
        <v>581</v>
      </c>
      <c r="J249" s="65"/>
      <c r="K249" s="65"/>
      <c r="L249" s="65"/>
      <c r="M249" s="160"/>
      <c r="N249" s="63"/>
      <c r="O249" s="63"/>
      <c r="P249" s="63"/>
      <c r="Q249" s="63"/>
      <c r="R249" s="63"/>
      <c r="S249" s="65"/>
      <c r="T249" s="65"/>
      <c r="U249" s="65"/>
      <c r="V249" s="65"/>
      <c r="W249" s="65"/>
      <c r="X249" s="2"/>
      <c r="Y249" s="2"/>
    </row>
    <row r="250" spans="9:25" ht="14.25">
      <c r="I250" s="404" t="s">
        <v>53</v>
      </c>
      <c r="J250" s="65"/>
      <c r="K250" s="65"/>
      <c r="L250" s="65"/>
      <c r="M250" s="160"/>
      <c r="N250" s="63"/>
      <c r="O250" s="63"/>
      <c r="P250" s="63"/>
      <c r="Q250" s="63"/>
      <c r="R250" s="63"/>
      <c r="S250" s="65"/>
      <c r="T250" s="65"/>
      <c r="U250" s="65"/>
      <c r="V250" s="65"/>
      <c r="W250" s="65"/>
      <c r="X250" s="2"/>
      <c r="Y250" s="2"/>
    </row>
    <row r="251" spans="9:25" ht="14.25">
      <c r="I251" s="404" t="s">
        <v>54</v>
      </c>
      <c r="J251" s="65"/>
      <c r="K251" s="65"/>
      <c r="L251" s="65"/>
      <c r="M251" s="160"/>
      <c r="N251" s="63"/>
      <c r="O251" s="63"/>
      <c r="P251" s="63"/>
      <c r="Q251" s="63"/>
      <c r="R251" s="63"/>
      <c r="S251" s="65"/>
      <c r="T251" s="65"/>
      <c r="U251" s="65"/>
      <c r="V251" s="65"/>
      <c r="W251" s="65"/>
      <c r="X251" s="2"/>
      <c r="Y251" s="2"/>
    </row>
    <row r="252" spans="9:25" ht="14.25">
      <c r="I252" s="404" t="s">
        <v>582</v>
      </c>
      <c r="J252" s="65"/>
      <c r="K252" s="65"/>
      <c r="L252" s="65"/>
      <c r="M252" s="160"/>
      <c r="N252" s="63"/>
      <c r="O252" s="63"/>
      <c r="P252" s="63"/>
      <c r="Q252" s="63"/>
      <c r="R252" s="63"/>
      <c r="S252" s="65"/>
      <c r="T252" s="65"/>
      <c r="U252" s="65"/>
      <c r="V252" s="65"/>
      <c r="W252" s="65"/>
      <c r="X252" s="2"/>
      <c r="Y252" s="2"/>
    </row>
    <row r="253" spans="9:25" ht="14.25">
      <c r="I253" s="404" t="s">
        <v>32</v>
      </c>
      <c r="J253" s="65"/>
      <c r="K253" s="65"/>
      <c r="L253" s="65"/>
      <c r="M253" s="160"/>
      <c r="N253" s="63"/>
      <c r="O253" s="63"/>
      <c r="P253" s="63"/>
      <c r="Q253" s="63"/>
      <c r="R253" s="63"/>
      <c r="S253" s="65"/>
      <c r="T253" s="65"/>
      <c r="U253" s="65"/>
      <c r="V253" s="65"/>
      <c r="W253" s="65"/>
      <c r="X253" s="2"/>
      <c r="Y253" s="2"/>
    </row>
    <row r="254" spans="9:25" ht="14.25">
      <c r="I254" s="404"/>
      <c r="J254" s="65"/>
      <c r="K254" s="65"/>
      <c r="L254" s="65"/>
      <c r="M254" s="160"/>
      <c r="N254" s="63"/>
      <c r="O254" s="63"/>
      <c r="P254" s="63"/>
      <c r="Q254" s="63"/>
      <c r="R254" s="63"/>
      <c r="S254" s="65"/>
      <c r="T254" s="65"/>
      <c r="U254" s="65"/>
      <c r="V254" s="65"/>
      <c r="W254" s="65"/>
      <c r="X254" s="2"/>
      <c r="Y254" s="2"/>
    </row>
    <row r="255" spans="9:25">
      <c r="I255" s="71" t="s">
        <v>581</v>
      </c>
      <c r="J255" s="65"/>
      <c r="K255" s="65"/>
      <c r="L255" s="65"/>
      <c r="M255" s="160"/>
      <c r="N255" s="63"/>
      <c r="O255" s="63"/>
      <c r="P255" s="63"/>
      <c r="Q255" s="63"/>
      <c r="R255" s="63"/>
      <c r="S255" s="65"/>
      <c r="T255" s="65"/>
      <c r="U255" s="65"/>
      <c r="V255" s="65"/>
      <c r="W255" s="65"/>
      <c r="X255" s="2"/>
      <c r="Y255" s="2"/>
    </row>
    <row r="256" spans="9:25" ht="14.25">
      <c r="I256" s="404" t="s">
        <v>53</v>
      </c>
      <c r="J256" s="65"/>
      <c r="K256" s="65"/>
      <c r="L256" s="65"/>
      <c r="M256" s="160"/>
      <c r="N256" s="63"/>
      <c r="O256" s="63"/>
      <c r="P256" s="63"/>
      <c r="Q256" s="63"/>
      <c r="R256" s="63"/>
      <c r="S256" s="65"/>
      <c r="T256" s="65"/>
      <c r="U256" s="65"/>
      <c r="V256" s="65"/>
      <c r="W256" s="65"/>
      <c r="X256" s="2"/>
      <c r="Y256" s="2"/>
    </row>
    <row r="257" spans="9:25" ht="14.25">
      <c r="I257" s="404" t="s">
        <v>54</v>
      </c>
      <c r="J257" s="65"/>
      <c r="K257" s="65"/>
      <c r="L257" s="65"/>
      <c r="M257" s="160"/>
      <c r="N257" s="63"/>
      <c r="O257" s="63"/>
      <c r="P257" s="63"/>
      <c r="Q257" s="63"/>
      <c r="R257" s="63"/>
      <c r="S257" s="65"/>
      <c r="T257" s="65"/>
      <c r="U257" s="65"/>
      <c r="V257" s="65"/>
      <c r="W257" s="65"/>
      <c r="X257" s="2"/>
      <c r="Y257" s="2"/>
    </row>
    <row r="258" spans="9:25" ht="14.25">
      <c r="I258" s="404"/>
      <c r="J258" s="65"/>
      <c r="K258" s="65"/>
      <c r="L258" s="65"/>
      <c r="M258" s="160"/>
      <c r="N258" s="63"/>
      <c r="O258" s="63"/>
      <c r="P258" s="63"/>
      <c r="Q258" s="63"/>
      <c r="R258" s="63"/>
      <c r="S258" s="65"/>
      <c r="T258" s="65"/>
      <c r="U258" s="65"/>
      <c r="V258" s="65"/>
      <c r="W258" s="65"/>
      <c r="X258" s="2"/>
      <c r="Y258" s="2"/>
    </row>
    <row r="259" spans="9:25">
      <c r="I259" s="71" t="s">
        <v>582</v>
      </c>
      <c r="J259" s="65"/>
      <c r="K259" s="65"/>
      <c r="L259" s="65"/>
      <c r="M259" s="160"/>
      <c r="N259" s="63"/>
      <c r="O259" s="63"/>
      <c r="P259" s="63"/>
      <c r="Q259" s="63"/>
      <c r="R259" s="63"/>
      <c r="S259" s="65"/>
      <c r="T259" s="65"/>
      <c r="U259" s="65"/>
      <c r="V259" s="65"/>
      <c r="W259" s="65"/>
      <c r="X259" s="2"/>
      <c r="Y259" s="2"/>
    </row>
    <row r="260" spans="9:25" ht="14.25">
      <c r="I260" s="404" t="s">
        <v>32</v>
      </c>
      <c r="J260" s="65"/>
      <c r="K260" s="65"/>
      <c r="L260" s="65"/>
      <c r="M260" s="160"/>
      <c r="N260" s="63"/>
      <c r="O260" s="63"/>
      <c r="P260" s="63"/>
      <c r="Q260" s="63"/>
      <c r="R260" s="63"/>
      <c r="S260" s="65"/>
      <c r="T260" s="65"/>
      <c r="U260" s="65"/>
      <c r="V260" s="65"/>
      <c r="W260" s="65"/>
      <c r="X260" s="2"/>
      <c r="Y260" s="2"/>
    </row>
    <row r="261" spans="9:25" ht="14.25">
      <c r="I261" s="404"/>
      <c r="J261" s="65"/>
      <c r="K261" s="65"/>
      <c r="L261" s="65"/>
      <c r="M261" s="160"/>
      <c r="N261" s="63"/>
      <c r="O261" s="63"/>
      <c r="P261" s="63"/>
      <c r="Q261" s="63"/>
      <c r="R261" s="63"/>
      <c r="S261" s="65"/>
      <c r="T261" s="65"/>
      <c r="U261" s="65"/>
      <c r="V261" s="65"/>
      <c r="W261" s="65"/>
      <c r="X261" s="2"/>
      <c r="Y261" s="2"/>
    </row>
    <row r="262" spans="9:25">
      <c r="I262" s="71" t="s">
        <v>583</v>
      </c>
      <c r="J262" s="65"/>
      <c r="K262" s="65"/>
      <c r="L262" s="65"/>
      <c r="M262" s="160"/>
      <c r="N262" s="63"/>
      <c r="O262" s="63"/>
      <c r="P262" s="63"/>
      <c r="Q262" s="63"/>
      <c r="R262" s="63"/>
      <c r="S262" s="65"/>
      <c r="T262" s="65"/>
      <c r="U262" s="65"/>
      <c r="V262" s="65"/>
      <c r="W262" s="65"/>
      <c r="X262" s="2"/>
      <c r="Y262" s="2"/>
    </row>
    <row r="263" spans="9:25" ht="14.25">
      <c r="I263" s="404" t="s">
        <v>49</v>
      </c>
      <c r="J263" s="65"/>
      <c r="K263" s="65"/>
      <c r="L263" s="65"/>
      <c r="M263" s="160"/>
      <c r="N263" s="63"/>
      <c r="O263" s="63"/>
      <c r="P263" s="63"/>
      <c r="Q263" s="63"/>
      <c r="R263" s="63"/>
      <c r="S263" s="65"/>
      <c r="T263" s="65"/>
      <c r="U263" s="65"/>
      <c r="V263" s="65"/>
      <c r="W263" s="65"/>
      <c r="X263" s="2"/>
      <c r="Y263" s="2"/>
    </row>
    <row r="264" spans="9:25" ht="14.25">
      <c r="I264" s="404" t="s">
        <v>50</v>
      </c>
      <c r="J264" s="65"/>
      <c r="K264" s="65"/>
      <c r="L264" s="65"/>
      <c r="M264" s="160"/>
      <c r="N264" s="63"/>
      <c r="O264" s="63"/>
      <c r="P264" s="63"/>
      <c r="Q264" s="63"/>
      <c r="R264" s="63"/>
      <c r="S264" s="65"/>
      <c r="T264" s="65"/>
      <c r="U264" s="65"/>
      <c r="V264" s="65"/>
      <c r="W264" s="65"/>
      <c r="X264" s="2"/>
      <c r="Y264" s="2"/>
    </row>
    <row r="265" spans="9:25" ht="14.25">
      <c r="I265" s="404" t="s">
        <v>51</v>
      </c>
      <c r="J265" s="65"/>
      <c r="K265" s="65"/>
      <c r="L265" s="65"/>
      <c r="M265" s="160"/>
      <c r="N265" s="63"/>
      <c r="O265" s="63"/>
      <c r="P265" s="63"/>
      <c r="Q265" s="63"/>
      <c r="R265" s="63"/>
      <c r="S265" s="65"/>
      <c r="T265" s="65"/>
      <c r="U265" s="65"/>
      <c r="V265" s="65"/>
      <c r="W265" s="65"/>
      <c r="X265" s="2"/>
      <c r="Y265" s="2"/>
    </row>
    <row r="266" spans="9:25" ht="14.25">
      <c r="I266" s="404" t="s">
        <v>52</v>
      </c>
      <c r="J266" s="65"/>
      <c r="K266" s="65"/>
      <c r="L266" s="65"/>
      <c r="M266" s="160"/>
      <c r="N266" s="63"/>
      <c r="O266" s="63"/>
      <c r="P266" s="63"/>
      <c r="Q266" s="63"/>
      <c r="R266" s="63"/>
      <c r="S266" s="65"/>
      <c r="T266" s="65"/>
      <c r="U266" s="65"/>
      <c r="V266" s="65"/>
      <c r="W266" s="65"/>
      <c r="X266" s="2"/>
      <c r="Y266" s="2"/>
    </row>
    <row r="267" spans="9:25" ht="14.25">
      <c r="I267" s="404"/>
      <c r="J267" s="65"/>
      <c r="K267" s="65"/>
      <c r="L267" s="65"/>
      <c r="M267" s="160"/>
      <c r="N267" s="63"/>
      <c r="O267" s="63"/>
      <c r="P267" s="63"/>
      <c r="Q267" s="63"/>
      <c r="R267" s="63"/>
      <c r="S267" s="65"/>
      <c r="T267" s="65"/>
      <c r="U267" s="65"/>
      <c r="V267" s="65"/>
      <c r="W267" s="65"/>
      <c r="X267" s="2"/>
      <c r="Y267" s="2"/>
    </row>
    <row r="268" spans="9:25">
      <c r="I268" s="71" t="s">
        <v>581</v>
      </c>
      <c r="J268" s="65"/>
      <c r="K268" s="65"/>
      <c r="L268" s="65"/>
      <c r="M268" s="160"/>
      <c r="N268" s="63"/>
      <c r="O268" s="63"/>
      <c r="P268" s="63"/>
      <c r="Q268" s="63"/>
      <c r="R268" s="63"/>
      <c r="S268" s="65"/>
      <c r="T268" s="65"/>
      <c r="U268" s="65"/>
      <c r="V268" s="65"/>
      <c r="W268" s="65"/>
      <c r="X268" s="2"/>
      <c r="Y268" s="2"/>
    </row>
    <row r="269" spans="9:25" ht="14.25">
      <c r="I269" s="404" t="s">
        <v>53</v>
      </c>
      <c r="J269" s="65"/>
      <c r="K269" s="65"/>
      <c r="L269" s="65"/>
      <c r="M269" s="160"/>
      <c r="N269" s="63"/>
      <c r="O269" s="63"/>
      <c r="P269" s="63"/>
      <c r="Q269" s="63"/>
      <c r="R269" s="63"/>
      <c r="S269" s="65"/>
      <c r="T269" s="65"/>
      <c r="U269" s="65"/>
      <c r="V269" s="65"/>
      <c r="W269" s="65"/>
      <c r="X269" s="2"/>
      <c r="Y269" s="2"/>
    </row>
    <row r="270" spans="9:25" ht="14.25">
      <c r="I270" s="404" t="s">
        <v>54</v>
      </c>
      <c r="J270" s="65"/>
      <c r="K270" s="65"/>
      <c r="L270" s="65"/>
      <c r="M270" s="160"/>
      <c r="N270" s="63"/>
      <c r="O270" s="63"/>
      <c r="P270" s="63"/>
      <c r="Q270" s="63"/>
      <c r="R270" s="63"/>
      <c r="S270" s="65"/>
      <c r="T270" s="65"/>
      <c r="U270" s="65"/>
      <c r="V270" s="65"/>
      <c r="W270" s="65"/>
      <c r="X270" s="2"/>
      <c r="Y270" s="2"/>
    </row>
    <row r="271" spans="9:25" ht="14.25">
      <c r="I271" s="404"/>
      <c r="J271" s="65"/>
      <c r="K271" s="65"/>
      <c r="L271" s="65"/>
      <c r="M271" s="160"/>
      <c r="N271" s="63"/>
      <c r="O271" s="63"/>
      <c r="P271" s="63"/>
      <c r="Q271" s="63"/>
      <c r="R271" s="63"/>
      <c r="S271" s="65"/>
      <c r="T271" s="65"/>
      <c r="U271" s="65"/>
      <c r="V271" s="65"/>
      <c r="W271" s="65"/>
      <c r="X271" s="2"/>
      <c r="Y271" s="2"/>
    </row>
    <row r="272" spans="9:25">
      <c r="I272" s="71" t="s">
        <v>582</v>
      </c>
      <c r="J272" s="65"/>
      <c r="K272" s="65"/>
      <c r="L272" s="65"/>
      <c r="M272" s="160"/>
      <c r="N272" s="63"/>
      <c r="O272" s="63"/>
      <c r="P272" s="63"/>
      <c r="Q272" s="63"/>
      <c r="R272" s="63"/>
      <c r="S272" s="65"/>
      <c r="T272" s="65"/>
      <c r="U272" s="65"/>
      <c r="V272" s="65"/>
      <c r="W272" s="65"/>
      <c r="X272" s="2"/>
      <c r="Y272" s="2"/>
    </row>
    <row r="273" spans="9:25">
      <c r="I273" s="71" t="s">
        <v>32</v>
      </c>
      <c r="J273" s="65"/>
      <c r="K273" s="65"/>
      <c r="L273" s="65"/>
      <c r="M273" s="160"/>
      <c r="N273" s="63"/>
      <c r="O273" s="63"/>
      <c r="P273" s="63"/>
      <c r="Q273" s="63"/>
      <c r="R273" s="63"/>
      <c r="S273" s="65"/>
      <c r="T273" s="65"/>
      <c r="U273" s="65"/>
      <c r="V273" s="65"/>
      <c r="W273" s="65"/>
      <c r="X273" s="2"/>
      <c r="Y273" s="2"/>
    </row>
    <row r="274" spans="9:25" ht="14.25">
      <c r="I274" s="404"/>
      <c r="J274" s="65"/>
      <c r="K274" s="65"/>
      <c r="L274" s="65"/>
      <c r="M274" s="160"/>
      <c r="N274" s="63"/>
      <c r="O274" s="63"/>
      <c r="P274" s="63"/>
      <c r="Q274" s="63"/>
      <c r="R274" s="63"/>
      <c r="S274" s="65"/>
      <c r="T274" s="65"/>
      <c r="U274" s="65"/>
      <c r="V274" s="65"/>
      <c r="W274" s="65"/>
      <c r="X274" s="2"/>
      <c r="Y274" s="2"/>
    </row>
    <row r="275" spans="9:25">
      <c r="I275" s="71" t="s">
        <v>584</v>
      </c>
      <c r="J275" s="65"/>
      <c r="K275" s="65"/>
      <c r="L275" s="65"/>
      <c r="M275" s="160"/>
      <c r="N275" s="63"/>
      <c r="O275" s="63"/>
      <c r="P275" s="63"/>
      <c r="Q275" s="63"/>
      <c r="R275" s="63"/>
      <c r="S275" s="65"/>
      <c r="T275" s="65"/>
      <c r="U275" s="65"/>
      <c r="V275" s="65"/>
      <c r="W275" s="65"/>
      <c r="X275" s="2"/>
      <c r="Y275" s="2"/>
    </row>
    <row r="276" spans="9:25" ht="14.25">
      <c r="I276" s="404" t="s">
        <v>49</v>
      </c>
      <c r="J276" s="65"/>
      <c r="K276" s="65"/>
      <c r="L276" s="65"/>
      <c r="M276" s="160"/>
      <c r="N276" s="63"/>
      <c r="O276" s="63"/>
      <c r="P276" s="63"/>
      <c r="Q276" s="63"/>
      <c r="R276" s="63"/>
      <c r="S276" s="65"/>
      <c r="T276" s="65"/>
      <c r="U276" s="65"/>
      <c r="V276" s="65"/>
      <c r="W276" s="65"/>
      <c r="X276" s="2"/>
      <c r="Y276" s="2"/>
    </row>
    <row r="277" spans="9:25" ht="14.25">
      <c r="I277" s="404" t="s">
        <v>585</v>
      </c>
      <c r="J277" s="65"/>
      <c r="K277" s="65"/>
      <c r="L277" s="65"/>
      <c r="M277" s="160"/>
      <c r="N277" s="63"/>
      <c r="O277" s="63"/>
      <c r="P277" s="63"/>
      <c r="Q277" s="63"/>
      <c r="R277" s="63"/>
      <c r="S277" s="65"/>
      <c r="T277" s="65"/>
      <c r="U277" s="65"/>
      <c r="V277" s="65"/>
      <c r="W277" s="65"/>
      <c r="X277" s="2"/>
      <c r="Y277" s="2"/>
    </row>
    <row r="278" spans="9:25" ht="14.25">
      <c r="I278" s="404" t="s">
        <v>582</v>
      </c>
      <c r="J278" s="65"/>
      <c r="K278" s="65"/>
      <c r="L278" s="65"/>
      <c r="M278" s="160"/>
      <c r="N278" s="63"/>
      <c r="O278" s="63"/>
      <c r="P278" s="63"/>
      <c r="Q278" s="63"/>
      <c r="R278" s="63"/>
      <c r="S278" s="65"/>
      <c r="T278" s="65"/>
      <c r="U278" s="65"/>
      <c r="V278" s="65"/>
      <c r="W278" s="65"/>
      <c r="X278" s="2"/>
      <c r="Y278" s="2"/>
    </row>
    <row r="279" spans="9:25" ht="14.25">
      <c r="I279" s="404" t="s">
        <v>21</v>
      </c>
      <c r="J279" s="65"/>
      <c r="K279" s="65"/>
      <c r="L279" s="65"/>
      <c r="M279" s="160"/>
      <c r="N279" s="63"/>
      <c r="O279" s="63"/>
      <c r="P279" s="63"/>
      <c r="Q279" s="63"/>
      <c r="R279" s="63"/>
      <c r="S279" s="65"/>
      <c r="T279" s="65"/>
      <c r="U279" s="65"/>
      <c r="V279" s="65"/>
      <c r="W279" s="65"/>
      <c r="X279" s="2"/>
      <c r="Y279" s="2"/>
    </row>
    <row r="280" spans="9:25" ht="14.25">
      <c r="I280" s="404"/>
      <c r="J280" s="65"/>
      <c r="K280" s="65"/>
      <c r="L280" s="65"/>
      <c r="M280" s="160"/>
      <c r="N280" s="63"/>
      <c r="O280" s="63"/>
      <c r="P280" s="63"/>
      <c r="Q280" s="63"/>
      <c r="R280" s="63"/>
      <c r="S280" s="65"/>
      <c r="T280" s="65"/>
      <c r="U280" s="65"/>
      <c r="V280" s="65"/>
      <c r="W280" s="65"/>
      <c r="X280" s="2"/>
      <c r="Y280" s="2"/>
    </row>
    <row r="281" spans="9:25" ht="15">
      <c r="I281" s="405" t="s">
        <v>586</v>
      </c>
      <c r="J281" s="65"/>
      <c r="K281" s="65"/>
      <c r="L281" s="65"/>
      <c r="M281" s="160"/>
      <c r="N281" s="63"/>
      <c r="O281" s="63"/>
      <c r="P281" s="63"/>
      <c r="Q281" s="63"/>
      <c r="R281" s="63"/>
      <c r="S281" s="65"/>
      <c r="T281" s="65"/>
      <c r="U281" s="65"/>
      <c r="V281" s="65"/>
      <c r="W281" s="65"/>
      <c r="X281" s="2"/>
      <c r="Y281" s="2"/>
    </row>
    <row r="282" spans="9:25" ht="14.25">
      <c r="I282" s="406" t="s">
        <v>49</v>
      </c>
      <c r="J282" s="65"/>
      <c r="K282" s="65"/>
      <c r="L282" s="65"/>
      <c r="M282" s="160"/>
      <c r="N282" s="63"/>
      <c r="O282" s="63"/>
      <c r="P282" s="63"/>
      <c r="Q282" s="63"/>
      <c r="R282" s="63"/>
      <c r="S282" s="65"/>
      <c r="T282" s="65"/>
      <c r="U282" s="65"/>
      <c r="V282" s="65"/>
      <c r="W282" s="65"/>
      <c r="X282" s="2"/>
      <c r="Y282" s="2"/>
    </row>
    <row r="283" spans="9:25" ht="14.25">
      <c r="I283" s="407" t="s">
        <v>50</v>
      </c>
      <c r="J283" s="65"/>
      <c r="K283" s="65"/>
      <c r="L283" s="65"/>
      <c r="M283" s="160"/>
      <c r="N283" s="63"/>
      <c r="O283" s="63"/>
      <c r="P283" s="63"/>
      <c r="Q283" s="63"/>
      <c r="R283" s="63"/>
      <c r="S283" s="65"/>
      <c r="T283" s="65"/>
      <c r="U283" s="65"/>
      <c r="V283" s="65"/>
      <c r="W283" s="65"/>
      <c r="X283" s="2"/>
      <c r="Y283" s="2"/>
    </row>
    <row r="284" spans="9:25" ht="14.25">
      <c r="I284" s="407" t="s">
        <v>51</v>
      </c>
      <c r="J284" s="65"/>
      <c r="K284" s="65"/>
      <c r="L284" s="65"/>
      <c r="M284" s="160"/>
      <c r="N284" s="63"/>
      <c r="O284" s="63"/>
      <c r="P284" s="63"/>
      <c r="Q284" s="63"/>
      <c r="R284" s="63"/>
      <c r="S284" s="65"/>
      <c r="T284" s="65"/>
      <c r="U284" s="65"/>
      <c r="V284" s="65"/>
      <c r="W284" s="65"/>
      <c r="X284" s="2"/>
      <c r="Y284" s="2"/>
    </row>
    <row r="285" spans="9:25" ht="14.25">
      <c r="I285" s="407" t="s">
        <v>52</v>
      </c>
      <c r="J285" s="65"/>
      <c r="K285" s="65"/>
      <c r="L285" s="65"/>
      <c r="M285" s="160"/>
      <c r="N285" s="63"/>
      <c r="O285" s="63"/>
      <c r="P285" s="63"/>
      <c r="Q285" s="63"/>
      <c r="R285" s="63"/>
      <c r="S285" s="65"/>
      <c r="T285" s="65"/>
      <c r="U285" s="65"/>
      <c r="V285" s="65"/>
      <c r="W285" s="65"/>
      <c r="X285" s="2"/>
      <c r="Y285" s="2"/>
    </row>
    <row r="286" spans="9:25" ht="15">
      <c r="I286" s="408" t="s">
        <v>581</v>
      </c>
      <c r="J286" s="65"/>
      <c r="K286" s="65"/>
      <c r="L286" s="65"/>
      <c r="M286" s="160"/>
      <c r="N286" s="63"/>
      <c r="O286" s="63"/>
      <c r="P286" s="63"/>
      <c r="Q286" s="63"/>
      <c r="R286" s="63"/>
      <c r="S286" s="65"/>
      <c r="T286" s="65"/>
      <c r="U286" s="65"/>
      <c r="V286" s="65"/>
      <c r="W286" s="65"/>
      <c r="X286" s="2"/>
      <c r="Y286" s="2"/>
    </row>
    <row r="287" spans="9:25" ht="14.25">
      <c r="I287" s="407" t="s">
        <v>53</v>
      </c>
      <c r="J287" s="65"/>
      <c r="K287" s="65"/>
      <c r="L287" s="65"/>
      <c r="M287" s="160"/>
      <c r="N287" s="63"/>
      <c r="O287" s="63"/>
      <c r="P287" s="63"/>
      <c r="Q287" s="63"/>
      <c r="R287" s="63"/>
      <c r="S287" s="65"/>
      <c r="T287" s="65"/>
      <c r="U287" s="65"/>
      <c r="V287" s="65"/>
      <c r="W287" s="65"/>
      <c r="X287" s="2"/>
      <c r="Y287" s="2"/>
    </row>
    <row r="288" spans="9:25" ht="14.25">
      <c r="I288" s="407" t="s">
        <v>54</v>
      </c>
      <c r="J288" s="65"/>
      <c r="K288" s="65"/>
      <c r="L288" s="65"/>
      <c r="M288" s="160"/>
      <c r="N288" s="63"/>
      <c r="O288" s="63"/>
      <c r="P288" s="63"/>
      <c r="Q288" s="63"/>
      <c r="R288" s="63"/>
      <c r="S288" s="65"/>
      <c r="T288" s="65"/>
      <c r="U288" s="65"/>
      <c r="V288" s="65"/>
      <c r="W288" s="65"/>
      <c r="X288" s="2"/>
      <c r="Y288" s="2"/>
    </row>
    <row r="289" spans="9:25" ht="15">
      <c r="I289" s="408" t="s">
        <v>582</v>
      </c>
      <c r="J289" s="65"/>
      <c r="K289" s="65"/>
      <c r="L289" s="65"/>
      <c r="M289" s="160"/>
      <c r="N289" s="63"/>
      <c r="O289" s="63"/>
      <c r="P289" s="63"/>
      <c r="Q289" s="63"/>
      <c r="R289" s="63"/>
      <c r="S289" s="65"/>
      <c r="T289" s="65"/>
      <c r="U289" s="65"/>
      <c r="V289" s="65"/>
      <c r="W289" s="65"/>
      <c r="X289" s="2"/>
      <c r="Y289" s="2"/>
    </row>
    <row r="290" spans="9:25" ht="13.5" customHeight="1">
      <c r="I290" s="408" t="s">
        <v>32</v>
      </c>
      <c r="J290" s="65"/>
      <c r="K290" s="65"/>
      <c r="L290" s="65"/>
      <c r="M290" s="160"/>
      <c r="N290" s="63"/>
      <c r="O290" s="63"/>
      <c r="P290" s="63"/>
      <c r="Q290" s="63"/>
      <c r="R290" s="63"/>
      <c r="S290" s="65"/>
      <c r="T290" s="65"/>
      <c r="U290" s="65"/>
      <c r="V290" s="65"/>
      <c r="W290" s="65"/>
      <c r="X290" s="2"/>
      <c r="Y290" s="2"/>
    </row>
    <row r="291" spans="9:25" ht="13.5" customHeight="1">
      <c r="I291" s="408"/>
      <c r="J291" s="65"/>
      <c r="K291" s="65"/>
      <c r="L291" s="65"/>
      <c r="M291" s="160"/>
      <c r="N291" s="63"/>
      <c r="O291" s="63"/>
      <c r="P291" s="63"/>
      <c r="Q291" s="63"/>
      <c r="R291" s="63"/>
      <c r="S291" s="65"/>
      <c r="T291" s="65"/>
      <c r="U291" s="65"/>
      <c r="V291" s="65"/>
      <c r="W291" s="65"/>
      <c r="X291" s="2"/>
      <c r="Y291" s="2"/>
    </row>
    <row r="292" spans="9:25" ht="13.5" customHeight="1">
      <c r="I292" s="409" t="s">
        <v>49</v>
      </c>
      <c r="J292" s="65"/>
      <c r="K292" s="65"/>
      <c r="L292" s="65"/>
      <c r="M292" s="160"/>
      <c r="N292" s="63"/>
      <c r="O292" s="63"/>
      <c r="P292" s="63"/>
      <c r="Q292" s="63"/>
      <c r="R292" s="63"/>
      <c r="S292" s="65"/>
      <c r="T292" s="65"/>
      <c r="U292" s="65"/>
      <c r="V292" s="65"/>
      <c r="W292" s="65"/>
      <c r="X292" s="2"/>
      <c r="Y292" s="2"/>
    </row>
    <row r="293" spans="9:25" ht="13.5" customHeight="1">
      <c r="I293" s="409" t="s">
        <v>585</v>
      </c>
      <c r="J293" s="65"/>
      <c r="K293" s="65"/>
      <c r="L293" s="65"/>
      <c r="M293" s="160"/>
      <c r="N293" s="63"/>
      <c r="O293" s="63"/>
      <c r="P293" s="63"/>
      <c r="Q293" s="63"/>
      <c r="R293" s="63"/>
      <c r="S293" s="65"/>
      <c r="T293" s="65"/>
      <c r="U293" s="65"/>
      <c r="V293" s="65"/>
      <c r="W293" s="65"/>
      <c r="X293" s="2"/>
      <c r="Y293" s="2"/>
    </row>
    <row r="294" spans="9:25" ht="13.5" customHeight="1">
      <c r="I294" s="408" t="s">
        <v>582</v>
      </c>
      <c r="J294" s="65"/>
      <c r="K294" s="65"/>
      <c r="L294" s="65"/>
      <c r="M294" s="160"/>
      <c r="N294" s="63"/>
      <c r="O294" s="63"/>
      <c r="P294" s="63"/>
      <c r="Q294" s="63"/>
      <c r="R294" s="63"/>
      <c r="S294" s="65"/>
      <c r="T294" s="65"/>
      <c r="U294" s="65"/>
      <c r="V294" s="65"/>
      <c r="W294" s="65"/>
      <c r="X294" s="2"/>
      <c r="Y294" s="2"/>
    </row>
    <row r="295" spans="9:25" ht="13.5" customHeight="1">
      <c r="I295" s="408" t="s">
        <v>21</v>
      </c>
      <c r="J295" s="65"/>
      <c r="K295" s="65"/>
      <c r="L295" s="65"/>
      <c r="M295" s="160"/>
      <c r="N295" s="63"/>
      <c r="O295" s="63"/>
      <c r="P295" s="63"/>
      <c r="Q295" s="63"/>
      <c r="R295" s="63"/>
      <c r="S295" s="65"/>
      <c r="T295" s="65"/>
      <c r="U295" s="65"/>
      <c r="V295" s="65"/>
      <c r="W295" s="65"/>
      <c r="X295" s="2"/>
      <c r="Y295" s="2"/>
    </row>
    <row r="296" spans="9:25" ht="13.5" customHeight="1">
      <c r="I296" s="408"/>
      <c r="J296" s="65"/>
      <c r="K296" s="65"/>
      <c r="L296" s="65"/>
      <c r="M296" s="160"/>
      <c r="N296" s="63"/>
      <c r="O296" s="63"/>
      <c r="P296" s="63"/>
      <c r="Q296" s="63"/>
      <c r="R296" s="63"/>
      <c r="S296" s="65"/>
      <c r="T296" s="65"/>
      <c r="U296" s="65"/>
      <c r="V296" s="65"/>
      <c r="W296" s="65"/>
      <c r="X296" s="2"/>
      <c r="Y296" s="2"/>
    </row>
    <row r="297" spans="9:25" ht="13.5" customHeight="1">
      <c r="I297" s="405" t="s">
        <v>587</v>
      </c>
      <c r="J297" s="65"/>
      <c r="K297" s="65"/>
      <c r="L297" s="65"/>
      <c r="M297" s="160"/>
      <c r="N297" s="63"/>
      <c r="O297" s="63"/>
      <c r="P297" s="63"/>
      <c r="Q297" s="63"/>
      <c r="R297" s="63"/>
      <c r="S297" s="65"/>
      <c r="T297" s="65"/>
      <c r="U297" s="65"/>
      <c r="V297" s="65"/>
      <c r="W297" s="65"/>
      <c r="X297" s="2"/>
      <c r="Y297" s="2"/>
    </row>
    <row r="298" spans="9:25" ht="13.5" customHeight="1">
      <c r="I298" s="408"/>
      <c r="J298" s="65"/>
      <c r="K298" s="65"/>
      <c r="L298" s="65"/>
      <c r="M298" s="160"/>
      <c r="N298" s="63"/>
      <c r="O298" s="63"/>
      <c r="P298" s="63"/>
      <c r="Q298" s="63"/>
      <c r="R298" s="63"/>
      <c r="S298" s="65"/>
      <c r="T298" s="65"/>
      <c r="U298" s="65"/>
      <c r="V298" s="65"/>
      <c r="W298" s="65"/>
      <c r="X298" s="2"/>
      <c r="Y298" s="2"/>
    </row>
    <row r="299" spans="9:25" ht="13.5" customHeight="1">
      <c r="I299" s="406" t="s">
        <v>49</v>
      </c>
      <c r="J299" s="65"/>
      <c r="K299" s="65"/>
      <c r="L299" s="65"/>
      <c r="M299" s="160"/>
      <c r="N299" s="63"/>
      <c r="O299" s="63"/>
      <c r="P299" s="63"/>
      <c r="Q299" s="63"/>
      <c r="R299" s="63"/>
      <c r="S299" s="65"/>
      <c r="T299" s="65"/>
      <c r="U299" s="65"/>
      <c r="V299" s="65"/>
      <c r="W299" s="65"/>
      <c r="X299" s="2"/>
      <c r="Y299" s="2"/>
    </row>
    <row r="300" spans="9:25" ht="13.5" customHeight="1">
      <c r="I300" s="407" t="s">
        <v>50</v>
      </c>
      <c r="J300" s="65"/>
      <c r="K300" s="65"/>
      <c r="L300" s="65"/>
      <c r="M300" s="160"/>
      <c r="N300" s="63"/>
      <c r="O300" s="63"/>
      <c r="P300" s="63"/>
      <c r="Q300" s="63"/>
      <c r="R300" s="63"/>
      <c r="S300" s="65"/>
      <c r="T300" s="65"/>
      <c r="U300" s="65"/>
      <c r="V300" s="65"/>
      <c r="W300" s="65"/>
      <c r="X300" s="2"/>
      <c r="Y300" s="2"/>
    </row>
    <row r="301" spans="9:25" ht="13.5" customHeight="1">
      <c r="I301" s="407" t="s">
        <v>51</v>
      </c>
      <c r="J301" s="65"/>
      <c r="K301" s="65"/>
      <c r="L301" s="65"/>
      <c r="M301" s="160"/>
      <c r="N301" s="63"/>
      <c r="O301" s="63"/>
      <c r="P301" s="63"/>
      <c r="Q301" s="63"/>
      <c r="R301" s="63"/>
      <c r="S301" s="65"/>
      <c r="T301" s="65"/>
      <c r="U301" s="65"/>
      <c r="V301" s="65"/>
      <c r="W301" s="65"/>
      <c r="X301" s="2"/>
      <c r="Y301" s="2"/>
    </row>
    <row r="302" spans="9:25" ht="13.5" customHeight="1">
      <c r="I302" s="407" t="s">
        <v>52</v>
      </c>
      <c r="J302" s="65"/>
      <c r="K302" s="65"/>
      <c r="L302" s="65"/>
      <c r="M302" s="160"/>
      <c r="N302" s="63"/>
      <c r="O302" s="63"/>
      <c r="P302" s="63"/>
      <c r="Q302" s="63"/>
      <c r="R302" s="63"/>
      <c r="S302" s="65"/>
      <c r="T302" s="65"/>
      <c r="U302" s="65"/>
      <c r="V302" s="65"/>
      <c r="W302" s="65"/>
      <c r="X302" s="2"/>
      <c r="Y302" s="2"/>
    </row>
    <row r="303" spans="9:25" ht="13.5" customHeight="1">
      <c r="I303" s="408" t="s">
        <v>581</v>
      </c>
      <c r="J303" s="65"/>
      <c r="K303" s="65"/>
      <c r="L303" s="65"/>
      <c r="M303" s="160"/>
      <c r="N303" s="63"/>
      <c r="O303" s="63"/>
      <c r="P303" s="63"/>
      <c r="Q303" s="63"/>
      <c r="R303" s="63"/>
      <c r="S303" s="65"/>
      <c r="T303" s="65"/>
      <c r="U303" s="65"/>
      <c r="V303" s="65"/>
      <c r="W303" s="65"/>
      <c r="X303" s="2"/>
      <c r="Y303" s="2"/>
    </row>
    <row r="304" spans="9:25" ht="13.5" customHeight="1">
      <c r="I304" s="407" t="s">
        <v>53</v>
      </c>
      <c r="J304" s="65"/>
      <c r="K304" s="65"/>
      <c r="L304" s="65"/>
      <c r="M304" s="160"/>
      <c r="N304" s="63"/>
      <c r="O304" s="63"/>
      <c r="P304" s="63"/>
      <c r="Q304" s="63"/>
      <c r="R304" s="63"/>
      <c r="S304" s="65"/>
      <c r="T304" s="65"/>
      <c r="U304" s="65"/>
      <c r="V304" s="65"/>
      <c r="W304" s="65"/>
      <c r="X304" s="2"/>
      <c r="Y304" s="2"/>
    </row>
    <row r="305" spans="9:25" ht="13.5" customHeight="1">
      <c r="I305" s="407" t="s">
        <v>54</v>
      </c>
      <c r="J305" s="65"/>
      <c r="K305" s="65"/>
      <c r="L305" s="65"/>
      <c r="M305" s="160"/>
      <c r="N305" s="63"/>
      <c r="O305" s="63"/>
      <c r="P305" s="63"/>
      <c r="Q305" s="63"/>
      <c r="R305" s="63"/>
      <c r="S305" s="65"/>
      <c r="T305" s="65"/>
      <c r="U305" s="65"/>
      <c r="V305" s="65"/>
      <c r="W305" s="65"/>
      <c r="X305" s="2"/>
      <c r="Y305" s="2"/>
    </row>
    <row r="306" spans="9:25" ht="13.5" customHeight="1">
      <c r="I306" s="408" t="s">
        <v>582</v>
      </c>
      <c r="J306" s="65"/>
      <c r="K306" s="65"/>
      <c r="L306" s="65"/>
      <c r="M306" s="160"/>
      <c r="N306" s="63"/>
      <c r="O306" s="63"/>
      <c r="P306" s="63"/>
      <c r="Q306" s="63"/>
      <c r="R306" s="63"/>
      <c r="S306" s="65"/>
      <c r="T306" s="65"/>
      <c r="U306" s="65"/>
      <c r="V306" s="65"/>
      <c r="W306" s="65"/>
      <c r="X306" s="2"/>
      <c r="Y306" s="2"/>
    </row>
    <row r="307" spans="9:25" ht="13.5" customHeight="1">
      <c r="I307" s="408" t="s">
        <v>32</v>
      </c>
      <c r="J307" s="65"/>
      <c r="K307" s="65"/>
      <c r="L307" s="65"/>
      <c r="M307" s="160"/>
      <c r="N307" s="63"/>
      <c r="O307" s="63"/>
      <c r="P307" s="63"/>
      <c r="Q307" s="63"/>
      <c r="R307" s="63"/>
      <c r="S307" s="65"/>
      <c r="T307" s="65"/>
      <c r="U307" s="65"/>
      <c r="V307" s="65"/>
      <c r="W307" s="65"/>
      <c r="X307" s="2"/>
      <c r="Y307" s="2"/>
    </row>
    <row r="308" spans="9:25" ht="13.5" customHeight="1">
      <c r="I308" s="408"/>
      <c r="J308" s="65"/>
      <c r="K308" s="65"/>
      <c r="L308" s="65"/>
      <c r="M308" s="160"/>
      <c r="N308" s="63"/>
      <c r="O308" s="63"/>
      <c r="P308" s="63"/>
      <c r="Q308" s="63"/>
      <c r="R308" s="63"/>
      <c r="S308" s="65"/>
      <c r="T308" s="65"/>
      <c r="U308" s="65"/>
      <c r="V308" s="65"/>
      <c r="W308" s="65"/>
      <c r="X308" s="2"/>
      <c r="Y308" s="2"/>
    </row>
    <row r="309" spans="9:25" s="91" customFormat="1" ht="15">
      <c r="I309" s="137" t="s">
        <v>65</v>
      </c>
      <c r="J309" s="180"/>
      <c r="K309" s="180"/>
      <c r="L309" s="180"/>
      <c r="M309" s="144"/>
      <c r="N309" s="145"/>
      <c r="O309" s="145"/>
      <c r="P309" s="146"/>
      <c r="Q309" s="147"/>
      <c r="R309" s="155"/>
      <c r="S309" s="155"/>
      <c r="T309" s="155"/>
      <c r="U309" s="155"/>
      <c r="V309" s="155"/>
      <c r="W309" s="182"/>
      <c r="X309" s="140"/>
    </row>
    <row r="310" spans="9:25">
      <c r="I310" s="59"/>
      <c r="J310" s="70" t="s">
        <v>2</v>
      </c>
      <c r="K310" s="70" t="s">
        <v>22</v>
      </c>
      <c r="L310" s="70" t="s">
        <v>25</v>
      </c>
      <c r="M310" s="151" t="s">
        <v>44</v>
      </c>
      <c r="N310" s="151" t="s">
        <v>55</v>
      </c>
      <c r="O310" s="151" t="s">
        <v>70</v>
      </c>
      <c r="P310" s="151" t="s">
        <v>72</v>
      </c>
      <c r="Q310" s="151" t="s">
        <v>82</v>
      </c>
      <c r="R310" s="151" t="s">
        <v>83</v>
      </c>
      <c r="S310" s="151" t="s">
        <v>346</v>
      </c>
      <c r="T310" s="151" t="s">
        <v>401</v>
      </c>
      <c r="U310" s="151" t="s">
        <v>412</v>
      </c>
      <c r="V310" s="151" t="s">
        <v>427</v>
      </c>
      <c r="W310" s="191">
        <v>2011</v>
      </c>
      <c r="X310" s="152">
        <v>2012</v>
      </c>
      <c r="Y310" s="152">
        <v>2013</v>
      </c>
    </row>
    <row r="311" spans="9:25">
      <c r="I311" s="60" t="s">
        <v>71</v>
      </c>
      <c r="J311" s="72">
        <v>4</v>
      </c>
      <c r="K311" s="72">
        <v>3</v>
      </c>
      <c r="L311" s="72">
        <v>33</v>
      </c>
      <c r="M311" s="63">
        <v>24</v>
      </c>
      <c r="N311" s="63">
        <v>28</v>
      </c>
      <c r="O311" s="64">
        <v>24</v>
      </c>
      <c r="P311" s="149">
        <v>28</v>
      </c>
      <c r="Q311" s="65">
        <v>31</v>
      </c>
      <c r="R311" s="65">
        <v>30</v>
      </c>
      <c r="S311" s="65">
        <v>32</v>
      </c>
      <c r="T311" s="63">
        <v>34</v>
      </c>
      <c r="U311" s="63">
        <v>34</v>
      </c>
      <c r="V311" s="63">
        <v>34</v>
      </c>
      <c r="X311" s="2"/>
    </row>
    <row r="312" spans="9:25">
      <c r="I312" s="59" t="s">
        <v>23</v>
      </c>
      <c r="J312" s="72">
        <v>1</v>
      </c>
      <c r="K312" s="72">
        <v>1</v>
      </c>
      <c r="L312" s="72">
        <v>16</v>
      </c>
      <c r="M312" s="63">
        <v>22</v>
      </c>
      <c r="N312" s="63">
        <v>24</v>
      </c>
      <c r="O312" s="64">
        <v>17</v>
      </c>
      <c r="P312" s="149">
        <v>34</v>
      </c>
      <c r="Q312" s="65">
        <v>36</v>
      </c>
      <c r="R312" s="65">
        <v>36</v>
      </c>
      <c r="S312" s="65">
        <v>38</v>
      </c>
      <c r="T312" s="63">
        <v>43</v>
      </c>
      <c r="U312" s="63">
        <v>46</v>
      </c>
      <c r="V312" s="63">
        <v>46</v>
      </c>
      <c r="X312" s="2"/>
    </row>
    <row r="313" spans="9:25">
      <c r="I313" s="59" t="s">
        <v>24</v>
      </c>
      <c r="J313" s="72">
        <v>1</v>
      </c>
      <c r="K313" s="72">
        <v>1</v>
      </c>
      <c r="L313" s="72">
        <v>9</v>
      </c>
      <c r="M313" s="63">
        <v>17</v>
      </c>
      <c r="N313" s="63">
        <v>17</v>
      </c>
      <c r="O313" s="64">
        <v>14</v>
      </c>
      <c r="P313" s="64">
        <v>14</v>
      </c>
      <c r="Q313" s="65">
        <v>14</v>
      </c>
      <c r="R313" s="65">
        <v>16</v>
      </c>
      <c r="S313" s="65">
        <v>23</v>
      </c>
      <c r="T313" s="63">
        <v>35</v>
      </c>
      <c r="U313" s="63">
        <v>43</v>
      </c>
      <c r="V313" s="63">
        <v>43</v>
      </c>
      <c r="X313" s="2"/>
    </row>
    <row r="314" spans="9:25">
      <c r="I314" s="71" t="s">
        <v>21</v>
      </c>
      <c r="J314" s="133">
        <f t="shared" ref="J314:P314" si="28">SUM(J311:J313)</f>
        <v>6</v>
      </c>
      <c r="K314" s="133">
        <f t="shared" si="28"/>
        <v>5</v>
      </c>
      <c r="L314" s="133">
        <f t="shared" si="28"/>
        <v>58</v>
      </c>
      <c r="M314" s="133">
        <f t="shared" si="28"/>
        <v>63</v>
      </c>
      <c r="N314" s="133">
        <f t="shared" si="28"/>
        <v>69</v>
      </c>
      <c r="O314" s="133">
        <f t="shared" si="28"/>
        <v>55</v>
      </c>
      <c r="P314" s="133">
        <f t="shared" si="28"/>
        <v>76</v>
      </c>
      <c r="Q314" s="148">
        <f t="shared" ref="Q314:V314" si="29">SUM(Q311:Q313)</f>
        <v>81</v>
      </c>
      <c r="R314" s="148">
        <f t="shared" si="29"/>
        <v>82</v>
      </c>
      <c r="S314" s="148">
        <f t="shared" si="29"/>
        <v>93</v>
      </c>
      <c r="T314" s="148">
        <f t="shared" si="29"/>
        <v>112</v>
      </c>
      <c r="U314" s="148">
        <f t="shared" si="29"/>
        <v>123</v>
      </c>
      <c r="V314" s="148">
        <f t="shared" si="29"/>
        <v>123</v>
      </c>
      <c r="X314" s="2"/>
    </row>
    <row r="315" spans="9:25" s="10" customFormat="1" ht="15" customHeight="1">
      <c r="I315" s="3"/>
      <c r="J315" s="174"/>
      <c r="K315" s="174"/>
      <c r="L315" s="174"/>
      <c r="M315" s="174"/>
      <c r="N315" s="174"/>
      <c r="O315" s="174"/>
      <c r="P315" s="174"/>
      <c r="Q315" s="225" t="s">
        <v>71</v>
      </c>
      <c r="R315" s="226"/>
      <c r="S315" s="226">
        <v>2</v>
      </c>
      <c r="T315" s="178"/>
      <c r="U315" s="178"/>
      <c r="V315" s="174"/>
      <c r="W315" s="173"/>
      <c r="X315" s="14"/>
    </row>
    <row r="316" spans="9:25" ht="9.75" hidden="1" customHeight="1">
      <c r="I316" s="5"/>
      <c r="J316" s="163"/>
      <c r="O316" s="8"/>
      <c r="P316" s="8"/>
      <c r="Q316" s="227" t="s">
        <v>23</v>
      </c>
      <c r="R316" s="228"/>
      <c r="S316" s="229">
        <v>2</v>
      </c>
      <c r="T316" s="183"/>
      <c r="U316" s="163"/>
    </row>
    <row r="317" spans="9:25" hidden="1">
      <c r="I317" s="109"/>
      <c r="J317" s="148" t="s">
        <v>223</v>
      </c>
      <c r="K317" s="148" t="s">
        <v>223</v>
      </c>
      <c r="L317" s="148" t="s">
        <v>223</v>
      </c>
      <c r="O317" s="174"/>
      <c r="P317" s="174"/>
      <c r="Q317" s="227" t="s">
        <v>24</v>
      </c>
      <c r="R317" s="226">
        <v>2</v>
      </c>
      <c r="S317" s="226">
        <v>7</v>
      </c>
      <c r="T317" s="183"/>
      <c r="U317" s="163"/>
    </row>
    <row r="318" spans="9:25" hidden="1">
      <c r="I318" s="97" t="s">
        <v>62</v>
      </c>
      <c r="J318" s="161" t="s">
        <v>224</v>
      </c>
      <c r="K318" s="161" t="s">
        <v>347</v>
      </c>
      <c r="L318" s="161" t="s">
        <v>407</v>
      </c>
      <c r="T318" s="183"/>
      <c r="U318" s="163"/>
    </row>
    <row r="319" spans="9:25" hidden="1">
      <c r="I319" s="62" t="s">
        <v>225</v>
      </c>
      <c r="J319" s="63">
        <v>17</v>
      </c>
      <c r="K319" s="63">
        <v>5</v>
      </c>
      <c r="L319" s="232"/>
      <c r="T319" s="183"/>
      <c r="U319" s="163"/>
    </row>
    <row r="320" spans="9:25" hidden="1">
      <c r="I320" s="62" t="s">
        <v>226</v>
      </c>
      <c r="J320" s="63">
        <v>9</v>
      </c>
      <c r="K320" s="63">
        <v>3</v>
      </c>
      <c r="L320" s="232"/>
      <c r="T320" s="183"/>
      <c r="U320" s="163"/>
    </row>
    <row r="321" spans="9:27" hidden="1">
      <c r="I321" s="62" t="s">
        <v>79</v>
      </c>
      <c r="J321" s="63">
        <v>3</v>
      </c>
      <c r="K321" s="63">
        <v>1</v>
      </c>
      <c r="L321" s="232"/>
      <c r="T321" s="183"/>
      <c r="U321" s="163"/>
    </row>
    <row r="322" spans="9:27" hidden="1">
      <c r="I322" s="62" t="s">
        <v>362</v>
      </c>
      <c r="J322" s="63">
        <v>22</v>
      </c>
      <c r="K322" s="63">
        <v>23</v>
      </c>
      <c r="L322" s="232"/>
      <c r="M322" s="174"/>
      <c r="N322" s="174"/>
      <c r="T322" s="183"/>
      <c r="U322" s="163"/>
    </row>
    <row r="323" spans="9:27">
      <c r="I323" s="1"/>
      <c r="J323" s="164">
        <f>SUM(J319:J322)</f>
        <v>51</v>
      </c>
      <c r="K323" s="164">
        <f>SUM(K319:K322)</f>
        <v>32</v>
      </c>
      <c r="L323" s="163"/>
      <c r="M323" s="163"/>
      <c r="N323" s="163"/>
      <c r="S323" s="172"/>
      <c r="T323" s="183"/>
      <c r="U323" s="163"/>
    </row>
    <row r="324" spans="9:27">
      <c r="I324" s="1"/>
      <c r="J324" s="163"/>
      <c r="K324" s="163"/>
      <c r="L324" s="163"/>
      <c r="M324" s="163"/>
      <c r="N324" s="163"/>
      <c r="S324" s="172"/>
      <c r="T324" s="183"/>
      <c r="U324" s="163"/>
    </row>
    <row r="325" spans="9:27">
      <c r="I325" s="71" t="s">
        <v>66</v>
      </c>
      <c r="J325" s="64"/>
      <c r="K325" s="64"/>
      <c r="L325" s="63"/>
      <c r="M325" s="63"/>
      <c r="N325" s="63"/>
      <c r="O325" s="135"/>
      <c r="P325" s="72"/>
      <c r="Q325" s="64"/>
      <c r="R325" s="65"/>
      <c r="S325" s="65"/>
      <c r="T325" s="65"/>
      <c r="U325" s="72"/>
      <c r="V325" s="72"/>
      <c r="W325" s="133"/>
      <c r="X325" s="133"/>
      <c r="Y325" s="133"/>
      <c r="Z325" s="133"/>
      <c r="AA325" s="133"/>
    </row>
    <row r="326" spans="9:27" ht="12.75" customHeight="1">
      <c r="I326" s="59"/>
      <c r="J326" s="64"/>
      <c r="K326" s="64"/>
      <c r="L326" s="70" t="s">
        <v>25</v>
      </c>
      <c r="M326" s="70" t="s">
        <v>44</v>
      </c>
      <c r="N326" s="70" t="s">
        <v>55</v>
      </c>
      <c r="O326" s="70" t="s">
        <v>70</v>
      </c>
      <c r="P326" s="70" t="s">
        <v>72</v>
      </c>
      <c r="Q326" s="70" t="s">
        <v>82</v>
      </c>
      <c r="R326" s="70" t="s">
        <v>83</v>
      </c>
      <c r="S326" s="70" t="s">
        <v>346</v>
      </c>
      <c r="T326" s="70" t="s">
        <v>401</v>
      </c>
      <c r="U326" s="70" t="s">
        <v>412</v>
      </c>
      <c r="V326" s="133" t="s">
        <v>427</v>
      </c>
      <c r="W326" s="191">
        <v>2011</v>
      </c>
      <c r="X326" s="152">
        <v>2012</v>
      </c>
      <c r="Y326" s="152">
        <v>2013</v>
      </c>
      <c r="Z326" s="152"/>
      <c r="AA326" s="152"/>
    </row>
    <row r="327" spans="9:27" ht="12.75" customHeight="1">
      <c r="I327" s="59" t="s">
        <v>39</v>
      </c>
      <c r="J327" s="64"/>
      <c r="K327" s="64"/>
      <c r="L327" s="72">
        <v>63</v>
      </c>
      <c r="M327" s="72">
        <v>39</v>
      </c>
      <c r="N327" s="64">
        <v>52</v>
      </c>
      <c r="O327" s="72">
        <v>42.650442477876105</v>
      </c>
      <c r="P327" s="72">
        <v>72</v>
      </c>
      <c r="Q327" s="72">
        <v>44</v>
      </c>
      <c r="R327" s="96">
        <v>84.18</v>
      </c>
      <c r="S327" s="96">
        <v>62</v>
      </c>
      <c r="T327" s="96">
        <v>83</v>
      </c>
      <c r="U327" s="63">
        <v>75</v>
      </c>
      <c r="V327" s="72">
        <v>64</v>
      </c>
      <c r="W327" s="72">
        <v>67</v>
      </c>
      <c r="X327" s="72">
        <v>51</v>
      </c>
      <c r="Y327" s="385">
        <v>75</v>
      </c>
    </row>
    <row r="328" spans="9:27" ht="12.75" customHeight="1">
      <c r="I328" s="59" t="s">
        <v>38</v>
      </c>
      <c r="J328" s="64"/>
      <c r="K328" s="64"/>
      <c r="L328" s="72">
        <v>82</v>
      </c>
      <c r="M328" s="72">
        <v>38</v>
      </c>
      <c r="N328" s="64">
        <v>25</v>
      </c>
      <c r="O328" s="72">
        <v>44.004424778761056</v>
      </c>
      <c r="P328" s="72">
        <v>60</v>
      </c>
      <c r="Q328" s="72">
        <v>78</v>
      </c>
      <c r="R328" s="96">
        <v>78.08</v>
      </c>
      <c r="S328" s="96">
        <v>101</v>
      </c>
      <c r="T328" s="96">
        <v>76</v>
      </c>
      <c r="U328" s="63">
        <v>80</v>
      </c>
      <c r="V328" s="72">
        <v>110</v>
      </c>
      <c r="W328" s="72">
        <v>114</v>
      </c>
      <c r="X328" s="72">
        <v>54</v>
      </c>
      <c r="Y328" s="385">
        <v>158</v>
      </c>
    </row>
    <row r="329" spans="9:27" ht="12.75" customHeight="1">
      <c r="I329" s="59" t="s">
        <v>40</v>
      </c>
      <c r="J329" s="64"/>
      <c r="K329" s="64"/>
      <c r="L329" s="72">
        <v>27</v>
      </c>
      <c r="M329" s="72">
        <v>49</v>
      </c>
      <c r="N329" s="64">
        <v>38</v>
      </c>
      <c r="O329" s="64">
        <v>50.097345132743357</v>
      </c>
      <c r="P329" s="64">
        <v>42</v>
      </c>
      <c r="Q329" s="64">
        <v>77</v>
      </c>
      <c r="R329" s="96">
        <v>71.37</v>
      </c>
      <c r="S329" s="96">
        <v>46</v>
      </c>
      <c r="T329" s="96">
        <v>75</v>
      </c>
      <c r="U329" s="63">
        <v>105</v>
      </c>
      <c r="V329" s="72">
        <v>62</v>
      </c>
      <c r="W329" s="72">
        <v>56</v>
      </c>
      <c r="X329" s="72">
        <v>136</v>
      </c>
      <c r="Y329" s="385">
        <v>69</v>
      </c>
    </row>
    <row r="330" spans="9:27" ht="12.75" customHeight="1">
      <c r="I330" s="59" t="s">
        <v>41</v>
      </c>
      <c r="J330" s="64"/>
      <c r="K330" s="64"/>
      <c r="L330" s="72">
        <v>25</v>
      </c>
      <c r="M330" s="72">
        <v>6</v>
      </c>
      <c r="N330" s="64">
        <v>11</v>
      </c>
      <c r="O330" s="64">
        <v>16.247787610619472</v>
      </c>
      <c r="P330" s="64">
        <v>7</v>
      </c>
      <c r="Q330" s="64">
        <v>13</v>
      </c>
      <c r="R330" s="96">
        <v>10.37</v>
      </c>
      <c r="S330" s="96">
        <v>16</v>
      </c>
      <c r="T330" s="96">
        <v>24</v>
      </c>
      <c r="U330" s="63">
        <v>19</v>
      </c>
      <c r="V330" s="72">
        <v>49</v>
      </c>
      <c r="W330" s="72">
        <v>53</v>
      </c>
      <c r="X330" s="72">
        <v>62</v>
      </c>
      <c r="Y330" s="385">
        <v>61</v>
      </c>
    </row>
    <row r="331" spans="9:27" ht="12.75" customHeight="1">
      <c r="I331" s="59" t="s">
        <v>32</v>
      </c>
      <c r="J331" s="64"/>
      <c r="K331" s="64"/>
      <c r="L331" s="133">
        <f t="shared" ref="L331:R331" si="30">SUM(L327:L330)</f>
        <v>197</v>
      </c>
      <c r="M331" s="133">
        <f t="shared" si="30"/>
        <v>132</v>
      </c>
      <c r="N331" s="133">
        <f t="shared" si="30"/>
        <v>126</v>
      </c>
      <c r="O331" s="133">
        <f t="shared" si="30"/>
        <v>153</v>
      </c>
      <c r="P331" s="133">
        <f t="shared" si="30"/>
        <v>181</v>
      </c>
      <c r="Q331" s="133">
        <f t="shared" si="30"/>
        <v>212</v>
      </c>
      <c r="R331" s="133">
        <f t="shared" si="30"/>
        <v>244</v>
      </c>
      <c r="S331" s="133">
        <f t="shared" ref="S331:X331" si="31">SUM(S327:S330)</f>
        <v>225</v>
      </c>
      <c r="T331" s="133">
        <f t="shared" si="31"/>
        <v>258</v>
      </c>
      <c r="U331" s="133">
        <f t="shared" si="31"/>
        <v>279</v>
      </c>
      <c r="V331" s="133">
        <f t="shared" si="31"/>
        <v>285</v>
      </c>
      <c r="W331" s="133">
        <f t="shared" si="31"/>
        <v>290</v>
      </c>
      <c r="X331" s="133">
        <f t="shared" si="31"/>
        <v>303</v>
      </c>
      <c r="Y331" s="133">
        <f>SUM(Y327:Y330)</f>
        <v>363</v>
      </c>
    </row>
    <row r="332" spans="9:27" ht="12.75" customHeight="1">
      <c r="I332" s="59" t="s">
        <v>340</v>
      </c>
      <c r="J332" s="64"/>
      <c r="K332" s="64"/>
      <c r="L332" s="64"/>
      <c r="M332" s="64"/>
      <c r="N332" s="165">
        <f t="shared" ref="N332:T332" si="32">N331/M331-1</f>
        <v>-4.5454545454545414E-2</v>
      </c>
      <c r="O332" s="165">
        <f t="shared" si="32"/>
        <v>0.21428571428571419</v>
      </c>
      <c r="P332" s="165">
        <f t="shared" si="32"/>
        <v>0.18300653594771243</v>
      </c>
      <c r="Q332" s="165">
        <f t="shared" si="32"/>
        <v>0.17127071823204409</v>
      </c>
      <c r="R332" s="165">
        <f>R331/Q331-1</f>
        <v>0.15094339622641506</v>
      </c>
      <c r="S332" s="165">
        <f t="shared" si="32"/>
        <v>-7.7868852459016424E-2</v>
      </c>
      <c r="T332" s="165">
        <f t="shared" si="32"/>
        <v>0.14666666666666672</v>
      </c>
      <c r="U332" s="165">
        <f>U331/T331-1</f>
        <v>8.1395348837209225E-2</v>
      </c>
      <c r="V332" s="165">
        <f>V331/U331-1</f>
        <v>2.1505376344086002E-2</v>
      </c>
      <c r="W332" s="165">
        <f>W331/V331-1</f>
        <v>1.7543859649122862E-2</v>
      </c>
      <c r="X332" s="165">
        <f>X331/W331-1</f>
        <v>4.482758620689653E-2</v>
      </c>
      <c r="Y332" s="165">
        <f>Y331/X331-1</f>
        <v>0.19801980198019797</v>
      </c>
    </row>
    <row r="333" spans="9:27" s="10" customFormat="1" ht="13.5">
      <c r="I333" s="3"/>
      <c r="J333" s="173"/>
      <c r="K333" s="173"/>
      <c r="L333" s="173"/>
      <c r="M333" s="190"/>
      <c r="N333" s="190"/>
      <c r="O333" s="190"/>
      <c r="P333" s="190"/>
      <c r="Q333" s="190"/>
      <c r="R333" s="184"/>
      <c r="S333" s="184"/>
      <c r="T333" s="185"/>
      <c r="U333" s="186"/>
      <c r="V333" s="173"/>
      <c r="W333" s="173"/>
    </row>
    <row r="334" spans="9:27" ht="12.75" customHeight="1">
      <c r="I334" s="59" t="s">
        <v>342</v>
      </c>
      <c r="J334" s="64"/>
      <c r="K334" s="64"/>
      <c r="L334" s="64"/>
      <c r="M334" s="100"/>
      <c r="N334" s="133">
        <v>60</v>
      </c>
      <c r="O334" s="133">
        <v>81</v>
      </c>
      <c r="P334" s="133">
        <v>106</v>
      </c>
      <c r="Q334" s="133">
        <v>102</v>
      </c>
      <c r="R334" s="133">
        <v>104</v>
      </c>
      <c r="S334" s="187"/>
      <c r="T334" s="188"/>
      <c r="U334" s="189"/>
    </row>
    <row r="335" spans="9:27" s="10" customFormat="1" ht="12.75" customHeight="1">
      <c r="I335" s="59" t="s">
        <v>343</v>
      </c>
      <c r="J335" s="64"/>
      <c r="K335" s="64"/>
      <c r="L335" s="64"/>
      <c r="M335" s="100"/>
      <c r="N335" s="150">
        <f>N334/P331</f>
        <v>0.33149171270718231</v>
      </c>
      <c r="O335" s="150">
        <f>O334/Q331</f>
        <v>0.38207547169811323</v>
      </c>
      <c r="P335" s="150">
        <f>P334/R331</f>
        <v>0.4344262295081967</v>
      </c>
      <c r="Q335" s="150">
        <f>Q334/S331</f>
        <v>0.45333333333333331</v>
      </c>
      <c r="R335" s="150">
        <f>R334/T331</f>
        <v>0.40310077519379844</v>
      </c>
      <c r="S335" s="187"/>
      <c r="T335" s="188"/>
      <c r="U335" s="189"/>
      <c r="V335" s="173"/>
      <c r="W335" s="173"/>
    </row>
    <row r="336" spans="9:27" s="10" customFormat="1" ht="12.75" customHeight="1">
      <c r="I336" s="59"/>
      <c r="J336" s="64"/>
      <c r="K336" s="64"/>
      <c r="L336" s="64"/>
      <c r="M336" s="100"/>
      <c r="N336" s="150"/>
      <c r="O336" s="150"/>
      <c r="P336" s="150"/>
      <c r="Q336" s="150"/>
      <c r="R336" s="150"/>
      <c r="S336" s="187"/>
      <c r="T336" s="188"/>
      <c r="U336" s="189"/>
      <c r="V336" s="173"/>
      <c r="W336" s="173"/>
    </row>
    <row r="337" spans="9:27" s="10" customFormat="1">
      <c r="I337" s="3"/>
      <c r="J337" s="173"/>
      <c r="K337" s="173"/>
      <c r="L337" s="173"/>
      <c r="M337" s="190"/>
      <c r="N337" s="190"/>
      <c r="O337" s="190"/>
      <c r="P337" s="190"/>
      <c r="Q337" s="190"/>
      <c r="R337" s="98"/>
      <c r="S337" s="98"/>
      <c r="T337" s="98"/>
      <c r="U337" s="98"/>
      <c r="V337" s="173"/>
      <c r="W337" s="173"/>
    </row>
    <row r="338" spans="9:27" s="202" customFormat="1">
      <c r="I338" s="223"/>
      <c r="J338" s="223"/>
      <c r="K338" s="148">
        <v>1999</v>
      </c>
      <c r="L338" s="148">
        <v>2000</v>
      </c>
      <c r="M338" s="148">
        <v>2001</v>
      </c>
      <c r="N338" s="148">
        <v>2002</v>
      </c>
      <c r="O338" s="148">
        <v>2003</v>
      </c>
      <c r="P338" s="148">
        <v>2004</v>
      </c>
      <c r="Q338" s="148">
        <v>2005</v>
      </c>
      <c r="R338" s="148">
        <v>2006</v>
      </c>
      <c r="S338" s="148">
        <v>2007</v>
      </c>
      <c r="T338" s="148">
        <v>2008</v>
      </c>
      <c r="U338" s="148">
        <v>2009</v>
      </c>
      <c r="V338" s="148">
        <v>2010</v>
      </c>
      <c r="W338" s="148">
        <v>2011</v>
      </c>
      <c r="X338" s="152">
        <v>2012</v>
      </c>
      <c r="Y338" s="152">
        <v>2013</v>
      </c>
      <c r="Z338" s="152"/>
      <c r="AA338" s="152"/>
    </row>
    <row r="339" spans="9:27" s="202" customFormat="1">
      <c r="I339" s="97" t="s">
        <v>363</v>
      </c>
      <c r="J339" s="148"/>
      <c r="K339" s="65">
        <v>2</v>
      </c>
      <c r="L339" s="65">
        <v>0</v>
      </c>
      <c r="M339" s="65">
        <v>0</v>
      </c>
      <c r="N339" s="65">
        <v>0</v>
      </c>
      <c r="O339" s="65">
        <v>2</v>
      </c>
      <c r="P339" s="65">
        <v>4</v>
      </c>
      <c r="Q339" s="65">
        <v>4</v>
      </c>
      <c r="R339" s="65">
        <v>11</v>
      </c>
      <c r="S339" s="65">
        <v>10</v>
      </c>
      <c r="T339" s="65">
        <v>11</v>
      </c>
      <c r="U339" s="65">
        <v>10</v>
      </c>
      <c r="V339" s="65">
        <v>10</v>
      </c>
      <c r="W339" s="65">
        <v>10</v>
      </c>
      <c r="X339" s="65">
        <v>9</v>
      </c>
      <c r="Y339" s="65">
        <v>9</v>
      </c>
    </row>
    <row r="340" spans="9:27" s="202" customFormat="1">
      <c r="I340" s="97" t="s">
        <v>594</v>
      </c>
      <c r="J340" s="148"/>
      <c r="K340" s="65"/>
      <c r="L340" s="65"/>
      <c r="M340" s="65"/>
      <c r="N340" s="65"/>
      <c r="O340" s="65"/>
      <c r="P340" s="65">
        <v>1</v>
      </c>
      <c r="Q340" s="65">
        <v>1</v>
      </c>
      <c r="R340" s="65">
        <v>4</v>
      </c>
      <c r="S340" s="65">
        <v>1</v>
      </c>
      <c r="T340" s="65">
        <v>1</v>
      </c>
      <c r="U340" s="239">
        <v>3</v>
      </c>
      <c r="V340" s="239">
        <v>6</v>
      </c>
      <c r="W340" s="239">
        <v>4</v>
      </c>
      <c r="X340" s="239">
        <v>2</v>
      </c>
      <c r="Y340" s="239">
        <v>4</v>
      </c>
    </row>
    <row r="341" spans="9:27" s="202" customFormat="1">
      <c r="I341" s="97" t="s">
        <v>445</v>
      </c>
      <c r="J341" s="148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239"/>
      <c r="V341" s="239">
        <v>1</v>
      </c>
      <c r="W341" s="239">
        <v>0</v>
      </c>
      <c r="X341" s="65">
        <v>1</v>
      </c>
      <c r="Y341" s="65">
        <v>1</v>
      </c>
    </row>
    <row r="342" spans="9:27" s="202" customFormat="1">
      <c r="I342" s="97" t="s">
        <v>595</v>
      </c>
      <c r="J342" s="148"/>
      <c r="K342" s="65"/>
      <c r="L342" s="65"/>
      <c r="M342" s="65"/>
      <c r="N342" s="65"/>
      <c r="O342" s="65"/>
      <c r="P342" s="65"/>
      <c r="Q342" s="65"/>
      <c r="R342" s="65">
        <v>1</v>
      </c>
      <c r="S342" s="65">
        <v>1</v>
      </c>
      <c r="T342" s="65">
        <v>0</v>
      </c>
      <c r="U342" s="239">
        <v>1</v>
      </c>
      <c r="V342" s="239"/>
      <c r="W342" s="239"/>
      <c r="X342" s="239"/>
      <c r="Y342" s="239"/>
    </row>
    <row r="343" spans="9:27" s="202" customFormat="1">
      <c r="I343" s="97" t="s">
        <v>596</v>
      </c>
      <c r="J343" s="148"/>
      <c r="K343" s="65"/>
      <c r="L343" s="65"/>
      <c r="M343" s="65"/>
      <c r="N343" s="65"/>
      <c r="O343" s="65"/>
      <c r="P343" s="65"/>
      <c r="Q343" s="65"/>
      <c r="R343" s="65"/>
      <c r="S343" s="65"/>
      <c r="T343" s="65">
        <v>1</v>
      </c>
      <c r="U343" s="239">
        <v>6</v>
      </c>
      <c r="V343" s="239">
        <v>4</v>
      </c>
      <c r="W343" s="239">
        <v>12</v>
      </c>
      <c r="X343" s="239">
        <v>4</v>
      </c>
      <c r="Y343" s="239">
        <v>9</v>
      </c>
    </row>
    <row r="344" spans="9:27" s="202" customFormat="1">
      <c r="I344" s="97"/>
      <c r="J344" s="148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239"/>
      <c r="V344" s="239"/>
      <c r="W344" s="239">
        <v>1</v>
      </c>
      <c r="X344" s="239">
        <v>1</v>
      </c>
      <c r="Y344" s="239"/>
    </row>
    <row r="345" spans="9:27" s="202" customFormat="1">
      <c r="I345" s="148"/>
      <c r="J345" s="148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239"/>
      <c r="V345" s="239"/>
      <c r="W345" s="239"/>
      <c r="X345" s="239"/>
      <c r="Y345" s="239"/>
    </row>
    <row r="346" spans="9:27" s="202" customFormat="1">
      <c r="I346" s="148"/>
      <c r="J346" s="148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239"/>
      <c r="V346" s="239"/>
      <c r="W346" s="239"/>
      <c r="X346" s="239"/>
      <c r="Y346" s="239"/>
    </row>
    <row r="347" spans="9:27" s="202" customFormat="1">
      <c r="I347" s="148"/>
      <c r="J347" s="148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239"/>
      <c r="V347" s="239"/>
      <c r="W347" s="239"/>
      <c r="X347" s="239"/>
      <c r="Y347" s="239"/>
    </row>
    <row r="348" spans="9:27" s="202" customFormat="1">
      <c r="I348" s="148"/>
      <c r="J348" s="148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239"/>
      <c r="V348" s="239"/>
      <c r="W348" s="239"/>
      <c r="X348" s="239"/>
      <c r="Y348" s="239"/>
    </row>
    <row r="349" spans="9:27" s="202" customFormat="1">
      <c r="I349" s="148"/>
      <c r="J349" s="148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239"/>
      <c r="V349" s="239"/>
      <c r="W349" s="239"/>
      <c r="X349" s="239"/>
      <c r="Y349" s="239"/>
    </row>
    <row r="350" spans="9:27" s="202" customFormat="1">
      <c r="I350" s="148"/>
      <c r="J350" s="148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239"/>
      <c r="V350" s="239"/>
      <c r="W350" s="239"/>
      <c r="X350" s="239"/>
      <c r="Y350" s="239"/>
    </row>
    <row r="351" spans="9:27" s="10" customFormat="1">
      <c r="I351" s="3"/>
      <c r="K351" s="173"/>
      <c r="L351" s="173"/>
      <c r="M351" s="173"/>
      <c r="N351" s="190"/>
      <c r="O351" s="190"/>
      <c r="P351" s="190"/>
      <c r="Q351" s="190"/>
      <c r="R351" s="190"/>
      <c r="S351" s="98"/>
      <c r="T351" s="98"/>
      <c r="V351" s="98"/>
      <c r="W351" s="173"/>
    </row>
    <row r="352" spans="9:27" s="10" customFormat="1">
      <c r="I352" s="59"/>
      <c r="J352" s="64"/>
      <c r="K352" s="64"/>
      <c r="L352" s="64"/>
      <c r="M352" s="64"/>
      <c r="N352" s="100"/>
      <c r="O352" s="100"/>
      <c r="P352" s="148">
        <v>2004</v>
      </c>
      <c r="Q352" s="148">
        <v>2005</v>
      </c>
      <c r="R352" s="148">
        <v>2006</v>
      </c>
      <c r="S352" s="148">
        <v>2007</v>
      </c>
      <c r="T352" s="148">
        <v>2008</v>
      </c>
      <c r="U352" s="148">
        <v>2009</v>
      </c>
      <c r="V352" s="148">
        <v>2010</v>
      </c>
      <c r="W352" s="173"/>
    </row>
    <row r="353" spans="9:29" s="10" customFormat="1">
      <c r="I353" s="97" t="s">
        <v>365</v>
      </c>
      <c r="J353" s="64"/>
      <c r="K353" s="64"/>
      <c r="L353" s="64"/>
      <c r="M353" s="64"/>
      <c r="N353" s="100"/>
      <c r="O353" s="100"/>
      <c r="P353" s="64">
        <v>7</v>
      </c>
      <c r="Q353" s="64">
        <v>12</v>
      </c>
      <c r="R353" s="64">
        <v>17</v>
      </c>
      <c r="S353" s="64">
        <v>19</v>
      </c>
      <c r="T353" s="65">
        <v>19</v>
      </c>
      <c r="U353" s="239"/>
      <c r="V353" s="239">
        <v>26</v>
      </c>
      <c r="W353" s="173"/>
    </row>
    <row r="354" spans="9:29" s="10" customFormat="1">
      <c r="I354" s="3"/>
      <c r="J354" s="173"/>
      <c r="K354" s="173"/>
      <c r="L354" s="173"/>
      <c r="M354" s="190"/>
      <c r="N354" s="190"/>
      <c r="O354" s="190"/>
      <c r="P354" s="190"/>
      <c r="Q354" s="190"/>
      <c r="R354" s="98"/>
      <c r="S354" s="98"/>
      <c r="T354" s="98"/>
      <c r="U354" s="98"/>
      <c r="V354" s="173"/>
      <c r="W354" s="173"/>
    </row>
    <row r="355" spans="9:29">
      <c r="I355" s="423" t="s">
        <v>349</v>
      </c>
      <c r="J355" s="423"/>
      <c r="K355" s="423"/>
      <c r="L355" s="439"/>
      <c r="M355" s="439"/>
      <c r="N355" s="439"/>
      <c r="O355" s="439"/>
      <c r="P355" s="439"/>
      <c r="Q355" s="439"/>
      <c r="R355" s="430"/>
      <c r="S355" s="417"/>
      <c r="T355" s="417"/>
      <c r="U355" s="417"/>
      <c r="V355" s="417"/>
      <c r="W355" s="417"/>
      <c r="X355" s="417"/>
      <c r="Y355" s="417"/>
      <c r="Z355" s="98"/>
      <c r="AA355" s="98"/>
    </row>
    <row r="356" spans="9:29">
      <c r="I356" s="422"/>
      <c r="J356" s="422"/>
      <c r="K356" s="422"/>
      <c r="L356" s="424" t="s">
        <v>25</v>
      </c>
      <c r="M356" s="424" t="s">
        <v>44</v>
      </c>
      <c r="N356" s="424" t="s">
        <v>55</v>
      </c>
      <c r="O356" s="424" t="s">
        <v>70</v>
      </c>
      <c r="P356" s="424" t="s">
        <v>72</v>
      </c>
      <c r="Q356" s="424" t="s">
        <v>82</v>
      </c>
      <c r="R356" s="424" t="s">
        <v>83</v>
      </c>
      <c r="S356" s="424" t="s">
        <v>346</v>
      </c>
      <c r="T356" s="424" t="s">
        <v>401</v>
      </c>
      <c r="U356" s="424" t="s">
        <v>412</v>
      </c>
      <c r="V356" s="424" t="s">
        <v>427</v>
      </c>
      <c r="W356" s="471">
        <v>2011</v>
      </c>
      <c r="X356" s="414">
        <v>2012</v>
      </c>
      <c r="Y356" s="414">
        <v>2013</v>
      </c>
      <c r="Z356" s="420"/>
      <c r="AA356" s="420"/>
      <c r="AB356" s="158"/>
      <c r="AC356" s="158"/>
    </row>
    <row r="357" spans="9:29">
      <c r="I357" s="418" t="s">
        <v>67</v>
      </c>
      <c r="J357" s="422"/>
      <c r="K357" s="422"/>
      <c r="L357" s="416">
        <v>792</v>
      </c>
      <c r="M357" s="416">
        <v>549</v>
      </c>
      <c r="N357" s="416">
        <v>506</v>
      </c>
      <c r="O357" s="419">
        <v>546</v>
      </c>
      <c r="P357" s="419">
        <v>578</v>
      </c>
      <c r="Q357" s="419">
        <v>901</v>
      </c>
      <c r="R357" s="435">
        <v>981</v>
      </c>
      <c r="S357" s="435">
        <v>942</v>
      </c>
      <c r="T357" s="472">
        <v>1006</v>
      </c>
      <c r="U357" s="472">
        <v>901</v>
      </c>
      <c r="V357" s="472">
        <v>980</v>
      </c>
      <c r="W357" s="472">
        <v>950</v>
      </c>
      <c r="X357" s="473">
        <v>1003</v>
      </c>
      <c r="Y357" s="428">
        <v>1182</v>
      </c>
      <c r="Z357" s="429"/>
      <c r="AA357" s="174"/>
      <c r="AB357" s="163"/>
      <c r="AC357" s="158"/>
    </row>
    <row r="358" spans="9:29">
      <c r="I358" s="418" t="s">
        <v>228</v>
      </c>
      <c r="J358" s="422"/>
      <c r="K358" s="422"/>
      <c r="L358" s="419">
        <v>2793</v>
      </c>
      <c r="M358" s="419">
        <v>2836</v>
      </c>
      <c r="N358" s="419">
        <v>2344</v>
      </c>
      <c r="O358" s="419">
        <v>3118</v>
      </c>
      <c r="P358" s="454">
        <v>3174.1428900000001</v>
      </c>
      <c r="Q358" s="440">
        <v>5160.36888</v>
      </c>
      <c r="R358" s="440">
        <v>5583.1950800000004</v>
      </c>
      <c r="S358" s="419">
        <v>6857.5</v>
      </c>
      <c r="T358" s="417">
        <v>7004</v>
      </c>
      <c r="U358" s="435">
        <v>8123.9157100000002</v>
      </c>
      <c r="V358" s="419">
        <v>7904.9236099999998</v>
      </c>
      <c r="W358" s="419">
        <v>8906.9851500000004</v>
      </c>
      <c r="X358" s="419">
        <v>9040</v>
      </c>
      <c r="Y358" s="417">
        <v>9969</v>
      </c>
      <c r="Z358" s="98"/>
      <c r="AA358" s="468"/>
      <c r="AB358" s="192"/>
      <c r="AC358" s="171"/>
    </row>
    <row r="359" spans="9:29">
      <c r="I359" s="418" t="s">
        <v>229</v>
      </c>
      <c r="J359" s="422"/>
      <c r="K359" s="422"/>
      <c r="L359" s="440">
        <f t="shared" ref="L359:Q359" si="33">L358/L357</f>
        <v>3.5265151515151514</v>
      </c>
      <c r="M359" s="440">
        <f t="shared" si="33"/>
        <v>5.1657559198542806</v>
      </c>
      <c r="N359" s="440">
        <f t="shared" si="33"/>
        <v>4.6324110671936758</v>
      </c>
      <c r="O359" s="440">
        <f t="shared" si="33"/>
        <v>5.7106227106227108</v>
      </c>
      <c r="P359" s="440">
        <f t="shared" si="33"/>
        <v>5.4915966955017304</v>
      </c>
      <c r="Q359" s="440">
        <f t="shared" si="33"/>
        <v>5.7273794450610431</v>
      </c>
      <c r="R359" s="440">
        <f t="shared" ref="R359:Y359" si="34">R358/R357</f>
        <v>5.6913303567787974</v>
      </c>
      <c r="S359" s="440">
        <f t="shared" si="34"/>
        <v>7.2797239915074314</v>
      </c>
      <c r="T359" s="440">
        <f t="shared" si="34"/>
        <v>6.962226640159046</v>
      </c>
      <c r="U359" s="440">
        <f t="shared" si="34"/>
        <v>9.0165546170921207</v>
      </c>
      <c r="V359" s="440">
        <f t="shared" si="34"/>
        <v>8.066248581632653</v>
      </c>
      <c r="W359" s="440">
        <f t="shared" si="34"/>
        <v>9.3757738421052643</v>
      </c>
      <c r="X359" s="440">
        <f t="shared" si="34"/>
        <v>9.0129611166500503</v>
      </c>
      <c r="Y359" s="440">
        <f t="shared" si="34"/>
        <v>8.4340101522842641</v>
      </c>
      <c r="Z359" s="98"/>
      <c r="AA359" s="173"/>
      <c r="AB359" s="158"/>
      <c r="AC359" s="158"/>
    </row>
    <row r="360" spans="9:29">
      <c r="I360" s="418" t="s">
        <v>42</v>
      </c>
      <c r="J360" s="422"/>
      <c r="K360" s="422"/>
      <c r="L360" s="416">
        <v>81</v>
      </c>
      <c r="M360" s="416">
        <v>94</v>
      </c>
      <c r="N360" s="416">
        <v>93</v>
      </c>
      <c r="O360" s="419">
        <v>99</v>
      </c>
      <c r="P360" s="419">
        <v>97</v>
      </c>
      <c r="Q360" s="419">
        <v>99</v>
      </c>
      <c r="R360" s="419">
        <v>103</v>
      </c>
      <c r="S360" s="419">
        <v>110</v>
      </c>
      <c r="T360" s="417">
        <v>123</v>
      </c>
      <c r="U360" s="419">
        <f>U27</f>
        <v>130</v>
      </c>
      <c r="V360" s="419">
        <f>V27</f>
        <v>134</v>
      </c>
      <c r="W360" s="419">
        <f>W27</f>
        <v>137</v>
      </c>
      <c r="X360" s="419">
        <f>X27</f>
        <v>139</v>
      </c>
      <c r="Y360" s="419">
        <f>Y27</f>
        <v>143</v>
      </c>
      <c r="Z360" s="98"/>
      <c r="AA360" s="173"/>
      <c r="AB360" s="158"/>
      <c r="AC360" s="158"/>
    </row>
    <row r="361" spans="9:29">
      <c r="I361" s="418" t="s">
        <v>230</v>
      </c>
      <c r="J361" s="422"/>
      <c r="K361" s="422"/>
      <c r="L361" s="440">
        <f t="shared" ref="L361:R361" si="35">L358/L360</f>
        <v>34.481481481481481</v>
      </c>
      <c r="M361" s="440">
        <f t="shared" si="35"/>
        <v>30.170212765957448</v>
      </c>
      <c r="N361" s="440">
        <f t="shared" si="35"/>
        <v>25.204301075268816</v>
      </c>
      <c r="O361" s="440">
        <f t="shared" si="35"/>
        <v>31.494949494949495</v>
      </c>
      <c r="P361" s="440">
        <f t="shared" si="35"/>
        <v>32.723122577319586</v>
      </c>
      <c r="Q361" s="440">
        <f t="shared" si="35"/>
        <v>52.12493818181818</v>
      </c>
      <c r="R361" s="440">
        <f t="shared" si="35"/>
        <v>54.205777475728162</v>
      </c>
      <c r="S361" s="440">
        <f t="shared" ref="S361:Y361" si="36">S358/S360</f>
        <v>62.340909090909093</v>
      </c>
      <c r="T361" s="440">
        <f t="shared" si="36"/>
        <v>56.943089430894311</v>
      </c>
      <c r="U361" s="440">
        <f t="shared" si="36"/>
        <v>62.491659307692309</v>
      </c>
      <c r="V361" s="440">
        <f t="shared" si="36"/>
        <v>58.991967238805969</v>
      </c>
      <c r="W361" s="440">
        <f t="shared" si="36"/>
        <v>65.014490145985405</v>
      </c>
      <c r="X361" s="440">
        <f t="shared" si="36"/>
        <v>65.035971223021576</v>
      </c>
      <c r="Y361" s="440">
        <f t="shared" si="36"/>
        <v>69.713286713286706</v>
      </c>
      <c r="Z361" s="98"/>
      <c r="AA361" s="98"/>
      <c r="AB361" s="158"/>
      <c r="AC361" s="158"/>
    </row>
    <row r="362" spans="9:29">
      <c r="I362" s="418" t="s">
        <v>411</v>
      </c>
      <c r="J362" s="422"/>
      <c r="K362" s="422"/>
      <c r="L362" s="474"/>
      <c r="M362" s="474"/>
      <c r="N362" s="474"/>
      <c r="O362" s="474"/>
      <c r="P362" s="474">
        <f t="shared" ref="P362:Y362" si="37">(P357/O357)-1</f>
        <v>5.8608058608058622E-2</v>
      </c>
      <c r="Q362" s="474">
        <f t="shared" si="37"/>
        <v>0.55882352941176472</v>
      </c>
      <c r="R362" s="474">
        <f>(R357/Q357)-1</f>
        <v>8.8790233074361735E-2</v>
      </c>
      <c r="S362" s="474">
        <f t="shared" si="37"/>
        <v>-3.9755351681957207E-2</v>
      </c>
      <c r="T362" s="474">
        <f t="shared" si="37"/>
        <v>6.7940552016985123E-2</v>
      </c>
      <c r="U362" s="474">
        <f t="shared" si="37"/>
        <v>-0.10437375745526833</v>
      </c>
      <c r="V362" s="474">
        <f t="shared" si="37"/>
        <v>8.76803551609322E-2</v>
      </c>
      <c r="W362" s="474">
        <f t="shared" si="37"/>
        <v>-3.0612244897959218E-2</v>
      </c>
      <c r="X362" s="474">
        <f t="shared" si="37"/>
        <v>5.5789473684210611E-2</v>
      </c>
      <c r="Y362" s="474">
        <f t="shared" si="37"/>
        <v>0.17846460618145565</v>
      </c>
      <c r="Z362" s="98"/>
      <c r="AA362" s="173"/>
      <c r="AB362" s="171"/>
      <c r="AC362" s="171"/>
    </row>
    <row r="363" spans="9:29">
      <c r="P363" s="171"/>
      <c r="Q363" s="171"/>
      <c r="U363" s="158"/>
      <c r="V363" s="158"/>
      <c r="Y363" s="224"/>
      <c r="Z363" s="243"/>
      <c r="AA363" s="243"/>
      <c r="AB363" s="171"/>
      <c r="AC363" s="2"/>
    </row>
    <row r="364" spans="9:29">
      <c r="I364" s="71" t="s">
        <v>80</v>
      </c>
      <c r="J364" s="71"/>
      <c r="K364" s="71"/>
      <c r="L364" s="249"/>
      <c r="M364" s="249"/>
      <c r="N364" s="249"/>
      <c r="O364" s="250"/>
      <c r="P364" s="64"/>
      <c r="Q364" s="171"/>
      <c r="U364" s="158"/>
      <c r="V364" s="158"/>
      <c r="Z364" s="10"/>
      <c r="AA364" s="10"/>
    </row>
    <row r="365" spans="9:29">
      <c r="I365" s="148"/>
      <c r="J365" s="148"/>
      <c r="K365" s="148"/>
      <c r="L365" s="64"/>
      <c r="M365" s="65"/>
      <c r="N365" s="65"/>
      <c r="O365" s="65"/>
      <c r="P365" s="65"/>
      <c r="Q365" s="65"/>
      <c r="R365" s="64"/>
      <c r="S365" s="64"/>
      <c r="T365" s="64"/>
      <c r="U365" s="64"/>
      <c r="V365" s="64"/>
      <c r="W365" s="64"/>
      <c r="X365" s="64"/>
      <c r="Z365" s="10"/>
      <c r="AA365" s="10"/>
    </row>
    <row r="366" spans="9:29">
      <c r="J366"/>
      <c r="K366"/>
      <c r="L366" s="70" t="s">
        <v>25</v>
      </c>
      <c r="M366" s="70" t="s">
        <v>44</v>
      </c>
      <c r="N366" s="70" t="s">
        <v>55</v>
      </c>
      <c r="O366" s="70" t="s">
        <v>70</v>
      </c>
      <c r="P366" s="70" t="s">
        <v>72</v>
      </c>
      <c r="Q366" s="148">
        <v>2005</v>
      </c>
      <c r="R366" s="148">
        <v>2006</v>
      </c>
      <c r="S366" s="148">
        <v>2007</v>
      </c>
      <c r="T366" s="148">
        <v>2008</v>
      </c>
      <c r="U366" s="148">
        <v>2009</v>
      </c>
      <c r="V366" s="148">
        <v>2010</v>
      </c>
      <c r="W366" s="148">
        <v>2011</v>
      </c>
      <c r="X366" s="152">
        <v>2012</v>
      </c>
      <c r="Y366" s="152">
        <v>2013</v>
      </c>
      <c r="Z366" s="420"/>
      <c r="AA366" s="420"/>
      <c r="AB366" s="231"/>
      <c r="AC366" s="2"/>
    </row>
    <row r="367" spans="9:29">
      <c r="I367" s="59" t="s">
        <v>355</v>
      </c>
      <c r="J367" s="59"/>
      <c r="K367" s="59"/>
      <c r="L367" s="72">
        <v>3986.0850298909136</v>
      </c>
      <c r="M367" s="72">
        <v>3934.1128041669908</v>
      </c>
      <c r="N367" s="72">
        <v>3894.5131032935815</v>
      </c>
      <c r="O367" s="72">
        <v>5995</v>
      </c>
      <c r="P367" s="72">
        <v>7401</v>
      </c>
      <c r="Q367" s="72">
        <v>10500.566579999999</v>
      </c>
      <c r="R367" s="72">
        <v>12664.387640000001</v>
      </c>
      <c r="S367" s="64">
        <v>14165.682290000001</v>
      </c>
      <c r="T367" s="403">
        <v>17923.034820000001</v>
      </c>
      <c r="U367" s="403">
        <f>20019.11408+U358</f>
        <v>28143.029790000001</v>
      </c>
      <c r="V367" s="403">
        <v>54297.314899999998</v>
      </c>
      <c r="W367" s="403">
        <v>51428.192710000003</v>
      </c>
      <c r="X367" s="403">
        <v>61460</v>
      </c>
      <c r="Z367" s="10"/>
      <c r="AA367" s="10"/>
      <c r="AB367" s="10"/>
    </row>
    <row r="368" spans="9:29">
      <c r="I368" s="59" t="s">
        <v>402</v>
      </c>
      <c r="J368" s="59"/>
      <c r="K368" s="59"/>
      <c r="L368" s="72">
        <v>81</v>
      </c>
      <c r="M368" s="72">
        <v>94</v>
      </c>
      <c r="N368" s="72">
        <v>93</v>
      </c>
      <c r="O368" s="72">
        <v>99</v>
      </c>
      <c r="P368" s="72">
        <v>97</v>
      </c>
      <c r="Q368" s="72">
        <v>99</v>
      </c>
      <c r="R368" s="64">
        <v>103</v>
      </c>
      <c r="S368" s="64">
        <v>110</v>
      </c>
      <c r="T368" s="64">
        <v>123</v>
      </c>
      <c r="U368" s="64">
        <f>U27</f>
        <v>130</v>
      </c>
      <c r="V368" s="64">
        <f>V27</f>
        <v>134</v>
      </c>
      <c r="W368" s="64">
        <f>W27</f>
        <v>137</v>
      </c>
      <c r="X368" s="64">
        <f>X27</f>
        <v>139</v>
      </c>
      <c r="Z368" s="10"/>
      <c r="AA368" s="10"/>
      <c r="AB368" s="10"/>
    </row>
    <row r="369" spans="7:40">
      <c r="I369" s="59" t="s">
        <v>356</v>
      </c>
      <c r="J369" s="59"/>
      <c r="K369" s="59"/>
      <c r="L369" s="64"/>
      <c r="M369" s="64"/>
      <c r="N369" s="64"/>
      <c r="O369" s="64">
        <f>O29</f>
        <v>36</v>
      </c>
      <c r="P369" s="64">
        <f>P29</f>
        <v>35</v>
      </c>
      <c r="Q369" s="64">
        <f>Q29</f>
        <v>36</v>
      </c>
      <c r="R369" s="64">
        <f>R29</f>
        <v>35</v>
      </c>
      <c r="S369" s="64">
        <f>S29</f>
        <v>35</v>
      </c>
      <c r="T369" s="64">
        <v>44</v>
      </c>
      <c r="U369" s="64">
        <f>U73</f>
        <v>48</v>
      </c>
      <c r="V369" s="64">
        <f>V73</f>
        <v>49</v>
      </c>
      <c r="W369" s="64">
        <f>W73</f>
        <v>52</v>
      </c>
      <c r="X369" s="64">
        <f>X73</f>
        <v>52</v>
      </c>
      <c r="Z369" s="10"/>
      <c r="AA369" s="10"/>
      <c r="AB369" s="10"/>
    </row>
    <row r="370" spans="7:40" ht="15.75">
      <c r="I370" s="59" t="s">
        <v>364</v>
      </c>
      <c r="J370" s="59"/>
      <c r="K370" s="59"/>
      <c r="L370" s="100">
        <f t="shared" ref="L370:S370" si="38">L367/L368</f>
        <v>49.210926294949552</v>
      </c>
      <c r="M370" s="100">
        <f t="shared" si="38"/>
        <v>41.852263874116922</v>
      </c>
      <c r="N370" s="100">
        <f t="shared" si="38"/>
        <v>41.876484981651416</v>
      </c>
      <c r="O370" s="100">
        <f t="shared" si="38"/>
        <v>60.555555555555557</v>
      </c>
      <c r="P370" s="100">
        <f t="shared" si="38"/>
        <v>76.298969072164951</v>
      </c>
      <c r="Q370" s="100">
        <f t="shared" si="38"/>
        <v>106.06632909090908</v>
      </c>
      <c r="R370" s="100">
        <f t="shared" si="38"/>
        <v>122.95521980582525</v>
      </c>
      <c r="S370" s="100">
        <f t="shared" si="38"/>
        <v>128.77892990909092</v>
      </c>
      <c r="T370" s="100">
        <f>T367/T368</f>
        <v>145.71573024390244</v>
      </c>
      <c r="U370" s="100">
        <f>U367/U368</f>
        <v>216.48484453846154</v>
      </c>
      <c r="V370" s="100">
        <f>V367/V368</f>
        <v>405.20384253731339</v>
      </c>
      <c r="W370" s="100">
        <f>W367/W368</f>
        <v>375.3882679562044</v>
      </c>
      <c r="X370" s="100">
        <f>X367/X368</f>
        <v>442.15827338129498</v>
      </c>
      <c r="Z370" s="10"/>
      <c r="AA370" s="244"/>
      <c r="AB370" s="10"/>
    </row>
    <row r="371" spans="7:40" s="10" customFormat="1">
      <c r="I371" s="3"/>
      <c r="J371" s="399"/>
      <c r="K371" s="399"/>
      <c r="L371" s="399"/>
      <c r="M371" s="399"/>
      <c r="N371" s="399"/>
      <c r="O371" s="399"/>
      <c r="P371" s="399"/>
      <c r="Q371" s="399"/>
      <c r="R371" s="399"/>
      <c r="S371" s="399"/>
      <c r="T371" s="399"/>
      <c r="U371" s="399"/>
      <c r="V371" s="399"/>
      <c r="W371" s="399"/>
      <c r="X371" s="206"/>
      <c r="Y371" s="14"/>
    </row>
    <row r="372" spans="7:40" s="10" customFormat="1" ht="12.75" customHeight="1">
      <c r="G372" s="427"/>
      <c r="H372" s="427"/>
      <c r="I372" s="423" t="s">
        <v>439</v>
      </c>
      <c r="J372" s="466" t="s">
        <v>2</v>
      </c>
      <c r="K372" s="466" t="s">
        <v>22</v>
      </c>
      <c r="L372" s="466" t="s">
        <v>25</v>
      </c>
      <c r="M372" s="466" t="s">
        <v>44</v>
      </c>
      <c r="N372" s="466" t="s">
        <v>55</v>
      </c>
      <c r="O372" s="430" t="s">
        <v>70</v>
      </c>
      <c r="P372" s="430" t="s">
        <v>72</v>
      </c>
      <c r="Q372" s="430">
        <v>2005</v>
      </c>
      <c r="R372" s="466" t="s">
        <v>83</v>
      </c>
      <c r="S372" s="466">
        <v>2007</v>
      </c>
      <c r="T372" s="466">
        <v>2008</v>
      </c>
      <c r="U372" s="430">
        <v>2009</v>
      </c>
      <c r="V372" s="430">
        <v>2010</v>
      </c>
      <c r="W372" s="430">
        <v>2011</v>
      </c>
      <c r="X372" s="414">
        <v>2012</v>
      </c>
      <c r="Y372" s="414">
        <v>2013</v>
      </c>
      <c r="Z372" s="420"/>
      <c r="AA372" s="420"/>
      <c r="AC372" s="3"/>
      <c r="AD372" s="3"/>
      <c r="AE372" s="3"/>
      <c r="AF372" s="3"/>
      <c r="AG372" s="3"/>
      <c r="AH372" s="3"/>
      <c r="AI372" s="3"/>
      <c r="AJ372" s="3"/>
      <c r="AK372" s="3"/>
      <c r="AL372" s="3"/>
    </row>
    <row r="373" spans="7:40" s="10" customFormat="1">
      <c r="G373" s="427"/>
      <c r="H373" s="427"/>
      <c r="I373" s="426" t="s">
        <v>438</v>
      </c>
      <c r="J373" s="416">
        <f t="shared" ref="J373:Q373" si="39">J380</f>
        <v>1609</v>
      </c>
      <c r="K373" s="416">
        <f t="shared" si="39"/>
        <v>2329</v>
      </c>
      <c r="L373" s="416">
        <f t="shared" si="39"/>
        <v>5253.4</v>
      </c>
      <c r="M373" s="416">
        <f t="shared" si="39"/>
        <v>5767.9</v>
      </c>
      <c r="N373" s="416">
        <f t="shared" si="39"/>
        <v>5670</v>
      </c>
      <c r="O373" s="416">
        <f t="shared" si="39"/>
        <v>5995.4</v>
      </c>
      <c r="P373" s="416">
        <f t="shared" si="39"/>
        <v>8534.6</v>
      </c>
      <c r="Q373" s="416">
        <f t="shared" si="39"/>
        <v>12443.5</v>
      </c>
      <c r="R373" s="416">
        <v>14228.3</v>
      </c>
      <c r="S373" s="416">
        <v>16791</v>
      </c>
      <c r="T373" s="416">
        <v>23903.67</v>
      </c>
      <c r="U373" s="416">
        <f>U380</f>
        <v>41354.199999999997</v>
      </c>
      <c r="V373" s="416">
        <f>V380</f>
        <v>63615.7</v>
      </c>
      <c r="W373" s="416">
        <v>58130</v>
      </c>
      <c r="X373" s="416">
        <v>70128</v>
      </c>
      <c r="Y373" s="416">
        <v>83578</v>
      </c>
      <c r="Z373" s="400"/>
      <c r="AA373" s="400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</row>
    <row r="374" spans="7:40" s="10" customFormat="1">
      <c r="G374" s="427"/>
      <c r="H374" s="427"/>
      <c r="I374" s="413" t="s">
        <v>227</v>
      </c>
      <c r="J374" s="416">
        <f t="shared" ref="J374:R374" si="40">J381+J382+J383+J384</f>
        <v>3429</v>
      </c>
      <c r="K374" s="416">
        <f t="shared" si="40"/>
        <v>5568</v>
      </c>
      <c r="L374" s="416">
        <f t="shared" si="40"/>
        <v>8088.2</v>
      </c>
      <c r="M374" s="416">
        <f t="shared" si="40"/>
        <v>9207.5</v>
      </c>
      <c r="N374" s="416">
        <f t="shared" si="40"/>
        <v>11208</v>
      </c>
      <c r="O374" s="416">
        <f t="shared" si="40"/>
        <v>14975.626119999999</v>
      </c>
      <c r="P374" s="416">
        <f t="shared" si="40"/>
        <v>12625.699999999999</v>
      </c>
      <c r="Q374" s="416">
        <f t="shared" si="40"/>
        <v>31627.180069999999</v>
      </c>
      <c r="R374" s="416">
        <f t="shared" si="40"/>
        <v>35178.976999999999</v>
      </c>
      <c r="S374" s="416">
        <v>55959</v>
      </c>
      <c r="T374" s="416">
        <v>16668</v>
      </c>
      <c r="U374" s="416">
        <f>U381</f>
        <v>37955.940630000005</v>
      </c>
      <c r="V374" s="416">
        <f>V381</f>
        <v>39222.400000000001</v>
      </c>
      <c r="W374" s="416">
        <v>50623</v>
      </c>
      <c r="X374" s="416">
        <v>60879</v>
      </c>
      <c r="Y374" s="416">
        <v>58282</v>
      </c>
      <c r="Z374" s="400"/>
      <c r="AA374" s="400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</row>
    <row r="375" spans="7:40" s="10" customFormat="1">
      <c r="G375" s="427"/>
      <c r="H375" s="427"/>
      <c r="I375" s="413" t="s">
        <v>19</v>
      </c>
      <c r="J375" s="416">
        <f t="shared" ref="J375:R375" si="41">J385</f>
        <v>38010</v>
      </c>
      <c r="K375" s="416">
        <f t="shared" si="41"/>
        <v>48301</v>
      </c>
      <c r="L375" s="416">
        <f t="shared" si="41"/>
        <v>59176</v>
      </c>
      <c r="M375" s="416">
        <f t="shared" si="41"/>
        <v>69173.7</v>
      </c>
      <c r="N375" s="416">
        <f t="shared" si="41"/>
        <v>67670</v>
      </c>
      <c r="O375" s="416">
        <f t="shared" si="41"/>
        <v>87711</v>
      </c>
      <c r="P375" s="416">
        <f t="shared" si="41"/>
        <v>84301.8</v>
      </c>
      <c r="Q375" s="416">
        <f t="shared" si="41"/>
        <v>88311.312999999995</v>
      </c>
      <c r="R375" s="416">
        <f t="shared" si="41"/>
        <v>95553.600000000006</v>
      </c>
      <c r="S375" s="416">
        <v>108579</v>
      </c>
      <c r="T375" s="416">
        <v>121495</v>
      </c>
      <c r="U375" s="416">
        <f>U385</f>
        <v>128805.3</v>
      </c>
      <c r="V375" s="416">
        <f>V385</f>
        <v>136270.47810000001</v>
      </c>
      <c r="W375" s="416">
        <v>153385</v>
      </c>
      <c r="X375" s="416">
        <v>148137</v>
      </c>
      <c r="Y375" s="416">
        <v>177942.11199999999</v>
      </c>
      <c r="Z375" s="400"/>
      <c r="AA375" s="400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</row>
    <row r="376" spans="7:40" s="10" customFormat="1">
      <c r="G376" s="427"/>
      <c r="H376" s="427"/>
      <c r="I376" s="413" t="s">
        <v>48</v>
      </c>
      <c r="J376" s="439">
        <f t="shared" ref="J376:R376" si="42">SUM(J373:J375)</f>
        <v>43048</v>
      </c>
      <c r="K376" s="439">
        <f t="shared" si="42"/>
        <v>56198</v>
      </c>
      <c r="L376" s="439">
        <f t="shared" si="42"/>
        <v>72517.600000000006</v>
      </c>
      <c r="M376" s="439">
        <f t="shared" si="42"/>
        <v>84149.099999999991</v>
      </c>
      <c r="N376" s="439">
        <f t="shared" si="42"/>
        <v>84548</v>
      </c>
      <c r="O376" s="439">
        <f t="shared" si="42"/>
        <v>108682.02611999999</v>
      </c>
      <c r="P376" s="439">
        <f t="shared" si="42"/>
        <v>105462.1</v>
      </c>
      <c r="Q376" s="439">
        <f t="shared" si="42"/>
        <v>132381.99307</v>
      </c>
      <c r="R376" s="439">
        <f t="shared" si="42"/>
        <v>144960.87700000001</v>
      </c>
      <c r="S376" s="439">
        <f t="shared" ref="S376:Y376" si="43">SUM(S373:S375)</f>
        <v>181329</v>
      </c>
      <c r="T376" s="439">
        <f t="shared" si="43"/>
        <v>162066.66999999998</v>
      </c>
      <c r="U376" s="439">
        <f t="shared" si="43"/>
        <v>208115.44063000003</v>
      </c>
      <c r="V376" s="439">
        <f t="shared" si="43"/>
        <v>239108.57810000001</v>
      </c>
      <c r="W376" s="439">
        <f t="shared" si="43"/>
        <v>262138</v>
      </c>
      <c r="X376" s="439">
        <f t="shared" si="43"/>
        <v>279144</v>
      </c>
      <c r="Y376" s="439">
        <f t="shared" si="43"/>
        <v>319802.11199999996</v>
      </c>
      <c r="Z376" s="400"/>
      <c r="AA376" s="400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</row>
    <row r="377" spans="7:40" s="10" customFormat="1">
      <c r="I377" s="3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400"/>
      <c r="Y377" s="400"/>
      <c r="Z377" s="400"/>
      <c r="AA377" s="400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</row>
    <row r="378" spans="7:40" s="10" customFormat="1">
      <c r="I378" s="71" t="s">
        <v>395</v>
      </c>
      <c r="J378" s="63"/>
      <c r="K378" s="63"/>
      <c r="L378" s="63"/>
      <c r="M378" s="63"/>
      <c r="N378" s="63"/>
      <c r="O378" s="65"/>
      <c r="P378" s="65"/>
      <c r="Q378" s="65"/>
      <c r="R378" s="65"/>
      <c r="S378" s="65"/>
      <c r="T378" s="63"/>
      <c r="U378" s="63"/>
      <c r="V378" s="63"/>
      <c r="W378" s="63"/>
      <c r="X378" s="63"/>
      <c r="Y378" s="63"/>
      <c r="Z378" s="178"/>
      <c r="AA378" s="178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</row>
    <row r="379" spans="7:40" s="10" customFormat="1" ht="12.75" customHeight="1">
      <c r="I379" s="59"/>
      <c r="J379" s="151" t="s">
        <v>2</v>
      </c>
      <c r="K379" s="151" t="s">
        <v>22</v>
      </c>
      <c r="L379" s="151" t="s">
        <v>25</v>
      </c>
      <c r="M379" s="151" t="s">
        <v>44</v>
      </c>
      <c r="N379" s="151" t="s">
        <v>55</v>
      </c>
      <c r="O379" s="148" t="s">
        <v>70</v>
      </c>
      <c r="P379" s="148" t="s">
        <v>72</v>
      </c>
      <c r="Q379" s="148">
        <v>2005</v>
      </c>
      <c r="R379" s="151" t="s">
        <v>83</v>
      </c>
      <c r="S379" s="151">
        <v>2007</v>
      </c>
      <c r="T379" s="148">
        <v>2008</v>
      </c>
      <c r="U379" s="151" t="s">
        <v>412</v>
      </c>
      <c r="V379" s="151">
        <v>2010</v>
      </c>
      <c r="W379" s="151">
        <v>2011</v>
      </c>
      <c r="X379" s="152">
        <v>2012</v>
      </c>
      <c r="Y379" s="152">
        <v>2013</v>
      </c>
      <c r="Z379" s="420"/>
      <c r="AA379" s="420"/>
      <c r="AB379" s="169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</row>
    <row r="380" spans="7:40" s="10" customFormat="1">
      <c r="I380" s="59" t="s">
        <v>20</v>
      </c>
      <c r="J380" s="72">
        <v>1609</v>
      </c>
      <c r="K380" s="72">
        <v>2329</v>
      </c>
      <c r="L380" s="72">
        <v>5253.4</v>
      </c>
      <c r="M380" s="72">
        <v>5767.9</v>
      </c>
      <c r="N380" s="72">
        <v>5670</v>
      </c>
      <c r="O380" s="64">
        <v>5995.4</v>
      </c>
      <c r="P380" s="64">
        <v>8534.6</v>
      </c>
      <c r="Q380" s="64">
        <v>12443.5</v>
      </c>
      <c r="R380" s="168">
        <f>14258.8</f>
        <v>14258.8</v>
      </c>
      <c r="S380" s="64">
        <v>16791.21</v>
      </c>
      <c r="T380" s="99">
        <v>23903.67</v>
      </c>
      <c r="U380" s="99">
        <v>41354.199999999997</v>
      </c>
      <c r="V380" s="99">
        <v>63615.7</v>
      </c>
      <c r="W380" s="99"/>
      <c r="X380" s="72">
        <v>64035</v>
      </c>
      <c r="Y380" s="99"/>
      <c r="Z380" s="177"/>
      <c r="AA380" s="177"/>
      <c r="AB380" s="169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</row>
    <row r="381" spans="7:40" s="10" customFormat="1">
      <c r="I381" s="59" t="s">
        <v>14</v>
      </c>
      <c r="J381" s="72">
        <v>2258</v>
      </c>
      <c r="K381" s="72">
        <v>3619</v>
      </c>
      <c r="L381" s="72">
        <v>6859</v>
      </c>
      <c r="M381" s="72">
        <v>7330.9</v>
      </c>
      <c r="N381" s="72">
        <v>9391</v>
      </c>
      <c r="O381" s="72">
        <v>12719.626119999999</v>
      </c>
      <c r="P381" s="64">
        <v>12399.4</v>
      </c>
      <c r="Q381" s="168">
        <v>31627.180069999999</v>
      </c>
      <c r="R381" s="168">
        <f>35178.977</f>
        <v>35178.976999999999</v>
      </c>
      <c r="S381" s="64">
        <v>55959.262000000002</v>
      </c>
      <c r="T381" s="99">
        <v>16668</v>
      </c>
      <c r="U381" s="99">
        <v>37955.940630000005</v>
      </c>
      <c r="V381" s="99">
        <v>39222.400000000001</v>
      </c>
      <c r="W381" s="99"/>
      <c r="X381" s="72">
        <v>55112</v>
      </c>
      <c r="Y381" s="99"/>
      <c r="Z381" s="177"/>
      <c r="AA381" s="177"/>
      <c r="AB381" s="169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</row>
    <row r="382" spans="7:40" s="10" customFormat="1">
      <c r="I382" s="59" t="s">
        <v>15</v>
      </c>
      <c r="J382" s="72">
        <v>562</v>
      </c>
      <c r="K382" s="72">
        <v>932</v>
      </c>
      <c r="L382" s="72">
        <v>176.5</v>
      </c>
      <c r="M382" s="72">
        <v>587.6</v>
      </c>
      <c r="N382" s="72">
        <v>96</v>
      </c>
      <c r="O382" s="72">
        <v>123</v>
      </c>
      <c r="P382" s="64">
        <v>0</v>
      </c>
      <c r="Q382" s="64"/>
      <c r="R382" s="65"/>
      <c r="S382" s="64"/>
      <c r="T382" s="62"/>
      <c r="U382" s="65"/>
      <c r="V382" s="65"/>
      <c r="W382" s="65"/>
      <c r="X382" s="99"/>
      <c r="Y382" s="99"/>
      <c r="Z382" s="177"/>
      <c r="AA382" s="177"/>
      <c r="AB382" s="170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</row>
    <row r="383" spans="7:40" s="10" customFormat="1">
      <c r="I383" s="59" t="s">
        <v>16</v>
      </c>
      <c r="J383" s="72">
        <v>609</v>
      </c>
      <c r="K383" s="72">
        <v>693</v>
      </c>
      <c r="L383" s="72">
        <v>716.4</v>
      </c>
      <c r="M383" s="72">
        <v>1253</v>
      </c>
      <c r="N383" s="72">
        <v>1515</v>
      </c>
      <c r="O383" s="72">
        <v>78</v>
      </c>
      <c r="P383" s="64">
        <v>226.3</v>
      </c>
      <c r="Q383" s="64"/>
      <c r="R383" s="65"/>
      <c r="S383" s="64"/>
      <c r="T383" s="64"/>
      <c r="U383" s="63"/>
      <c r="V383" s="63"/>
      <c r="W383" s="63"/>
      <c r="X383" s="99"/>
      <c r="Y383" s="99"/>
      <c r="Z383" s="177"/>
      <c r="AA383" s="177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</row>
    <row r="384" spans="7:40" s="10" customFormat="1">
      <c r="I384" s="59" t="s">
        <v>4</v>
      </c>
      <c r="J384" s="72"/>
      <c r="K384" s="72">
        <v>324</v>
      </c>
      <c r="L384" s="72">
        <v>336.3</v>
      </c>
      <c r="M384" s="72">
        <v>36</v>
      </c>
      <c r="N384" s="72">
        <v>206</v>
      </c>
      <c r="O384" s="72">
        <v>2055</v>
      </c>
      <c r="P384" s="64">
        <v>0</v>
      </c>
      <c r="Q384" s="64"/>
      <c r="R384" s="64"/>
      <c r="S384" s="64"/>
      <c r="T384" s="64"/>
      <c r="U384" s="63"/>
      <c r="V384" s="63"/>
      <c r="W384" s="63"/>
      <c r="X384" s="99"/>
      <c r="Y384" s="99"/>
      <c r="Z384" s="177"/>
      <c r="AA384" s="177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</row>
    <row r="385" spans="9:39" s="10" customFormat="1">
      <c r="I385" s="59" t="s">
        <v>19</v>
      </c>
      <c r="J385" s="72">
        <v>38010</v>
      </c>
      <c r="K385" s="72">
        <v>48301</v>
      </c>
      <c r="L385" s="72">
        <v>59176</v>
      </c>
      <c r="M385" s="72">
        <v>69173.7</v>
      </c>
      <c r="N385" s="72">
        <v>67670</v>
      </c>
      <c r="O385" s="72">
        <v>87711</v>
      </c>
      <c r="P385" s="64">
        <v>84301.8</v>
      </c>
      <c r="Q385" s="64">
        <v>88311.312999999995</v>
      </c>
      <c r="R385" s="168">
        <f>95553.6</f>
        <v>95553.600000000006</v>
      </c>
      <c r="S385" s="64">
        <v>108579.151</v>
      </c>
      <c r="T385" s="99">
        <v>121495</v>
      </c>
      <c r="U385" s="99">
        <v>128805.3</v>
      </c>
      <c r="V385" s="99">
        <v>136270.47810000001</v>
      </c>
      <c r="W385" s="99"/>
      <c r="X385" s="401">
        <v>148137</v>
      </c>
      <c r="Y385" s="99"/>
      <c r="Z385" s="177"/>
      <c r="AA385" s="177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</row>
    <row r="386" spans="9:39" s="10" customFormat="1">
      <c r="I386" s="59"/>
      <c r="J386" s="63"/>
      <c r="K386" s="63"/>
      <c r="L386" s="63"/>
      <c r="M386" s="63"/>
      <c r="N386" s="63"/>
      <c r="O386" s="72"/>
      <c r="P386" s="65"/>
      <c r="Q386" s="65"/>
      <c r="R386" s="65"/>
      <c r="S386" s="65"/>
      <c r="T386" s="236"/>
      <c r="U386" s="157"/>
      <c r="V386" s="157"/>
      <c r="W386" s="157"/>
      <c r="X386" s="99"/>
      <c r="Y386" s="99"/>
      <c r="Z386" s="177"/>
      <c r="AA386" s="177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</row>
    <row r="387" spans="9:39" s="10" customFormat="1">
      <c r="I387" s="62"/>
      <c r="J387" s="72">
        <f t="shared" ref="J387:P387" si="44">SUM(J380:J385)</f>
        <v>43048</v>
      </c>
      <c r="K387" s="72">
        <f t="shared" si="44"/>
        <v>56198</v>
      </c>
      <c r="L387" s="72">
        <f t="shared" si="44"/>
        <v>72517.600000000006</v>
      </c>
      <c r="M387" s="72">
        <f t="shared" si="44"/>
        <v>84149.099999999991</v>
      </c>
      <c r="N387" s="72">
        <f t="shared" si="44"/>
        <v>84548</v>
      </c>
      <c r="O387" s="72">
        <f t="shared" si="44"/>
        <v>108682.02611999999</v>
      </c>
      <c r="P387" s="72">
        <f t="shared" si="44"/>
        <v>105462.1</v>
      </c>
      <c r="Q387" s="72">
        <f t="shared" ref="Q387:V387" si="45">SUM(Q380:Q386)</f>
        <v>132381.99307</v>
      </c>
      <c r="R387" s="72">
        <f t="shared" si="45"/>
        <v>144991.37700000001</v>
      </c>
      <c r="S387" s="72">
        <f t="shared" si="45"/>
        <v>181329.62300000002</v>
      </c>
      <c r="T387" s="72">
        <f t="shared" si="45"/>
        <v>162066.66999999998</v>
      </c>
      <c r="U387" s="72">
        <f t="shared" si="45"/>
        <v>208115.44063000003</v>
      </c>
      <c r="V387" s="72">
        <f t="shared" si="45"/>
        <v>239108.57810000001</v>
      </c>
      <c r="W387" s="72"/>
      <c r="X387" s="99"/>
      <c r="Y387" s="99"/>
      <c r="Z387" s="177"/>
      <c r="AA387" s="177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</row>
    <row r="388" spans="9:39" s="10" customFormat="1">
      <c r="J388" s="174"/>
      <c r="K388" s="174"/>
      <c r="L388" s="174"/>
      <c r="M388" s="174"/>
      <c r="N388" s="174"/>
      <c r="O388" s="174"/>
      <c r="P388" s="174"/>
      <c r="Q388" s="174"/>
      <c r="R388" s="174"/>
      <c r="S388" s="174"/>
      <c r="T388" s="174"/>
      <c r="U388" s="174"/>
      <c r="V388" s="174"/>
      <c r="W388" s="174"/>
      <c r="X388" s="177"/>
      <c r="Y388" s="177"/>
      <c r="Z388" s="177"/>
      <c r="AA388" s="177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</row>
    <row r="389" spans="9:39">
      <c r="P389"/>
      <c r="Q389" s="485" t="s">
        <v>373</v>
      </c>
      <c r="R389" s="485"/>
      <c r="S389" s="485"/>
      <c r="T389" s="485"/>
      <c r="U389" s="485"/>
      <c r="V389" s="485"/>
      <c r="W389"/>
    </row>
    <row r="390" spans="9:39">
      <c r="I390" s="209"/>
      <c r="J390" s="68"/>
      <c r="K390" s="68"/>
      <c r="L390" s="68"/>
      <c r="M390" s="68"/>
      <c r="N390" s="68" t="s">
        <v>374</v>
      </c>
      <c r="O390" s="68" t="s">
        <v>375</v>
      </c>
      <c r="P390" s="68" t="s">
        <v>376</v>
      </c>
      <c r="Q390" s="68" t="s">
        <v>377</v>
      </c>
      <c r="R390" s="68" t="s">
        <v>378</v>
      </c>
      <c r="S390" s="68" t="s">
        <v>379</v>
      </c>
      <c r="T390" s="68" t="s">
        <v>403</v>
      </c>
      <c r="U390" s="68" t="s">
        <v>404</v>
      </c>
      <c r="V390" s="68" t="s">
        <v>413</v>
      </c>
      <c r="W390" s="68" t="s">
        <v>414</v>
      </c>
      <c r="X390" s="68" t="s">
        <v>428</v>
      </c>
      <c r="Y390" s="68" t="s">
        <v>429</v>
      </c>
      <c r="Z390" s="398" t="s">
        <v>520</v>
      </c>
      <c r="AA390" s="398" t="s">
        <v>521</v>
      </c>
      <c r="AB390" s="398" t="s">
        <v>522</v>
      </c>
      <c r="AC390" s="398" t="s">
        <v>523</v>
      </c>
    </row>
    <row r="391" spans="9:39">
      <c r="I391" s="209" t="s">
        <v>380</v>
      </c>
      <c r="J391" s="64"/>
      <c r="K391" s="64"/>
      <c r="L391" s="64"/>
      <c r="M391" s="62"/>
      <c r="N391" s="210">
        <v>8468</v>
      </c>
      <c r="O391" s="210">
        <v>10500.7</v>
      </c>
      <c r="P391" s="210">
        <v>10000</v>
      </c>
      <c r="Q391" s="210">
        <v>11949.5</v>
      </c>
      <c r="R391" s="210">
        <v>10000</v>
      </c>
      <c r="S391" s="210">
        <v>14165.7</v>
      </c>
      <c r="T391" s="157">
        <v>17514</v>
      </c>
      <c r="U391" s="157">
        <v>17923.034820000001</v>
      </c>
      <c r="V391" s="157">
        <v>30800</v>
      </c>
      <c r="W391" s="157">
        <v>37062</v>
      </c>
      <c r="X391" s="157">
        <v>55380</v>
      </c>
      <c r="Y391" s="157">
        <v>53968.2</v>
      </c>
      <c r="Z391" s="157"/>
      <c r="AA391" s="157"/>
      <c r="AB391" s="157"/>
      <c r="AC391" s="157"/>
    </row>
    <row r="392" spans="9:39">
      <c r="I392" s="209" t="s">
        <v>381</v>
      </c>
      <c r="J392" s="64"/>
      <c r="K392" s="64"/>
      <c r="L392" s="64"/>
      <c r="M392" s="62"/>
      <c r="N392" s="210"/>
      <c r="O392" s="210">
        <v>225.4</v>
      </c>
      <c r="P392" s="210"/>
      <c r="Q392" s="210">
        <v>158.5</v>
      </c>
      <c r="R392" s="210"/>
      <c r="S392" s="210">
        <v>358.4</v>
      </c>
      <c r="T392" s="157"/>
      <c r="U392" s="157">
        <v>864.36300000000006</v>
      </c>
      <c r="V392" s="157"/>
      <c r="W392" s="157">
        <v>450</v>
      </c>
      <c r="X392" s="157"/>
      <c r="Y392" s="157">
        <v>935.6</v>
      </c>
      <c r="Z392" s="157"/>
      <c r="AA392" s="157"/>
      <c r="AB392" s="157"/>
      <c r="AC392" s="157"/>
    </row>
    <row r="393" spans="9:39">
      <c r="I393" s="209" t="s">
        <v>382</v>
      </c>
      <c r="J393" s="64"/>
      <c r="K393" s="64"/>
      <c r="L393" s="64"/>
      <c r="M393" s="62"/>
      <c r="N393" s="210">
        <v>3132</v>
      </c>
      <c r="O393" s="210">
        <v>1717.3</v>
      </c>
      <c r="P393" s="210">
        <v>3400</v>
      </c>
      <c r="Q393" s="210">
        <v>2120.3000000000002</v>
      </c>
      <c r="R393" s="210">
        <v>3400</v>
      </c>
      <c r="S393" s="210">
        <v>2267.1</v>
      </c>
      <c r="T393" s="157">
        <v>3800</v>
      </c>
      <c r="U393" s="157">
        <v>5116.2725200000004</v>
      </c>
      <c r="V393" s="157">
        <v>3500</v>
      </c>
      <c r="W393" s="157">
        <v>3842.2</v>
      </c>
      <c r="X393" s="157">
        <v>0</v>
      </c>
      <c r="Y393" s="157">
        <v>8711.9</v>
      </c>
      <c r="Z393" s="157"/>
      <c r="AA393" s="157"/>
      <c r="AB393" s="157"/>
      <c r="AC393" s="157"/>
    </row>
    <row r="394" spans="9:39">
      <c r="I394" s="209" t="s">
        <v>383</v>
      </c>
      <c r="J394" s="64"/>
      <c r="K394" s="64"/>
      <c r="L394" s="64"/>
      <c r="M394" s="62"/>
      <c r="N394" s="210">
        <v>31627.180069999999</v>
      </c>
      <c r="O394" s="210">
        <v>31627.180069999999</v>
      </c>
      <c r="P394" s="210">
        <v>35178.976999999999</v>
      </c>
      <c r="Q394" s="210">
        <v>35178.976999999999</v>
      </c>
      <c r="R394" s="210">
        <v>55959.262000000002</v>
      </c>
      <c r="S394" s="210">
        <v>55959.262000000002</v>
      </c>
      <c r="T394" s="157">
        <v>16668.577539999998</v>
      </c>
      <c r="U394" s="157">
        <v>16668.577539999998</v>
      </c>
      <c r="V394" s="157">
        <v>37955.940630000005</v>
      </c>
      <c r="W394" s="157">
        <v>37955.940630000005</v>
      </c>
      <c r="X394" s="157">
        <v>39222.400000000001</v>
      </c>
      <c r="Y394" s="157">
        <v>39222.400000000001</v>
      </c>
      <c r="Z394" s="157"/>
      <c r="AA394" s="157"/>
      <c r="AB394" s="157"/>
      <c r="AC394" s="157"/>
    </row>
    <row r="395" spans="9:39">
      <c r="I395" s="209" t="s">
        <v>384</v>
      </c>
      <c r="J395" s="64"/>
      <c r="K395" s="64"/>
      <c r="L395" s="64"/>
      <c r="M395" s="62"/>
      <c r="N395" s="210">
        <v>88311.312999999995</v>
      </c>
      <c r="O395" s="210">
        <v>88311.312999999995</v>
      </c>
      <c r="P395" s="210">
        <v>95553.572</v>
      </c>
      <c r="Q395" s="210">
        <v>95553.572</v>
      </c>
      <c r="R395" s="210">
        <v>108579.151</v>
      </c>
      <c r="S395" s="210">
        <v>108579.151</v>
      </c>
      <c r="T395" s="157">
        <v>121495.18803</v>
      </c>
      <c r="U395" s="157">
        <v>121495.18803</v>
      </c>
      <c r="V395" s="157">
        <v>128805.3</v>
      </c>
      <c r="W395" s="157">
        <v>128805.3</v>
      </c>
      <c r="X395" s="157">
        <v>136270.5</v>
      </c>
      <c r="Y395" s="157">
        <v>136270.5</v>
      </c>
      <c r="Z395" s="157"/>
      <c r="AA395" s="157"/>
      <c r="AB395" s="157"/>
      <c r="AC395" s="157"/>
    </row>
    <row r="396" spans="9:39">
      <c r="I396" s="68" t="s">
        <v>48</v>
      </c>
      <c r="J396" s="64"/>
      <c r="K396" s="64"/>
      <c r="L396" s="64"/>
      <c r="M396" s="62"/>
      <c r="N396" s="211">
        <f t="shared" ref="N396:Y396" si="46">SUM(N391:N395)</f>
        <v>131538.49307</v>
      </c>
      <c r="O396" s="211">
        <f t="shared" si="46"/>
        <v>132381.89306999999</v>
      </c>
      <c r="P396" s="211">
        <f t="shared" si="46"/>
        <v>144132.549</v>
      </c>
      <c r="Q396" s="211">
        <f t="shared" si="46"/>
        <v>144960.84899999999</v>
      </c>
      <c r="R396" s="211">
        <f t="shared" si="46"/>
        <v>177938.413</v>
      </c>
      <c r="S396" s="211">
        <f t="shared" si="46"/>
        <v>181329.61300000001</v>
      </c>
      <c r="T396" s="211">
        <f t="shared" si="46"/>
        <v>159477.76556999999</v>
      </c>
      <c r="U396" s="211">
        <f t="shared" si="46"/>
        <v>162067.43591</v>
      </c>
      <c r="V396" s="211">
        <f t="shared" si="46"/>
        <v>201061.24063000001</v>
      </c>
      <c r="W396" s="211">
        <f t="shared" si="46"/>
        <v>208115.44063000003</v>
      </c>
      <c r="X396" s="211">
        <f t="shared" si="46"/>
        <v>230872.9</v>
      </c>
      <c r="Y396" s="211">
        <f t="shared" si="46"/>
        <v>239108.6</v>
      </c>
      <c r="Z396" s="157"/>
      <c r="AA396" s="157"/>
      <c r="AB396" s="157"/>
      <c r="AC396" s="157"/>
    </row>
    <row r="397" spans="9:39">
      <c r="I397" s="209"/>
      <c r="J397" s="64"/>
      <c r="K397" s="64"/>
      <c r="L397" s="64"/>
      <c r="M397" s="62"/>
      <c r="N397" s="155"/>
      <c r="O397" s="155"/>
      <c r="P397" s="155"/>
      <c r="Q397" s="155"/>
      <c r="R397" s="155"/>
      <c r="S397" s="155"/>
      <c r="T397" s="157"/>
      <c r="U397" s="157"/>
      <c r="V397" s="62"/>
      <c r="W397" s="62"/>
      <c r="X397" s="62"/>
      <c r="Y397" s="62"/>
      <c r="Z397" s="157"/>
      <c r="AA397" s="157"/>
      <c r="AB397" s="157"/>
      <c r="AC397" s="157"/>
    </row>
    <row r="398" spans="9:39">
      <c r="I398" s="212" t="s">
        <v>385</v>
      </c>
      <c r="J398" s="64"/>
      <c r="K398" s="64"/>
      <c r="L398" s="64"/>
      <c r="M398" s="62"/>
      <c r="N398" s="213">
        <v>4026</v>
      </c>
      <c r="O398" s="213">
        <v>4026</v>
      </c>
      <c r="P398" s="213">
        <v>9302.6</v>
      </c>
      <c r="Q398" s="213">
        <v>9302.6</v>
      </c>
      <c r="R398" s="213">
        <v>6549.3</v>
      </c>
      <c r="S398" s="213">
        <v>6549.3</v>
      </c>
      <c r="T398" s="157">
        <v>8353.8475400000007</v>
      </c>
      <c r="U398" s="157">
        <v>8353.8475400000007</v>
      </c>
      <c r="V398" s="62">
        <v>8774.6887699999988</v>
      </c>
      <c r="W398" s="62">
        <v>8774.6887699999988</v>
      </c>
      <c r="X398" s="62"/>
      <c r="Y398" s="62"/>
      <c r="Z398" s="157"/>
      <c r="AA398" s="157"/>
      <c r="AB398" s="157"/>
      <c r="AC398" s="157"/>
    </row>
    <row r="399" spans="9:39">
      <c r="M399"/>
      <c r="N399" s="158"/>
      <c r="O399" s="158"/>
      <c r="T399"/>
      <c r="U399"/>
      <c r="V399"/>
      <c r="W399"/>
    </row>
    <row r="400" spans="9:39">
      <c r="M400"/>
      <c r="N400" s="158"/>
      <c r="O400" s="158"/>
      <c r="T400"/>
      <c r="U400"/>
      <c r="V400"/>
      <c r="W400"/>
    </row>
    <row r="401" spans="9:29">
      <c r="I401" s="209"/>
      <c r="J401" s="64"/>
      <c r="K401" s="64"/>
      <c r="L401" s="64"/>
      <c r="M401" s="62"/>
      <c r="N401" s="486" t="s">
        <v>386</v>
      </c>
      <c r="O401" s="486"/>
      <c r="P401" s="486"/>
      <c r="Q401" s="486"/>
      <c r="R401" s="486"/>
      <c r="S401" s="486"/>
      <c r="T401" s="62"/>
      <c r="U401" s="62"/>
      <c r="V401" s="62"/>
      <c r="W401" s="62"/>
      <c r="X401" s="62"/>
      <c r="Y401" s="62"/>
      <c r="Z401" s="62"/>
      <c r="AA401" s="62"/>
      <c r="AB401" s="62"/>
      <c r="AC401" s="62"/>
    </row>
    <row r="402" spans="9:29">
      <c r="I402" s="209"/>
      <c r="J402" s="64"/>
      <c r="K402" s="64"/>
      <c r="L402" s="64"/>
      <c r="M402" s="62"/>
      <c r="N402" s="68" t="s">
        <v>374</v>
      </c>
      <c r="O402" s="68" t="s">
        <v>375</v>
      </c>
      <c r="P402" s="68" t="s">
        <v>376</v>
      </c>
      <c r="Q402" s="68" t="s">
        <v>377</v>
      </c>
      <c r="R402" s="68" t="s">
        <v>378</v>
      </c>
      <c r="S402" s="68" t="s">
        <v>379</v>
      </c>
      <c r="T402" s="68" t="s">
        <v>403</v>
      </c>
      <c r="U402" s="68" t="s">
        <v>404</v>
      </c>
      <c r="V402" s="68" t="s">
        <v>413</v>
      </c>
      <c r="W402" s="68" t="s">
        <v>414</v>
      </c>
      <c r="X402" s="68" t="s">
        <v>428</v>
      </c>
      <c r="Y402" s="68" t="s">
        <v>429</v>
      </c>
      <c r="Z402" s="398" t="s">
        <v>520</v>
      </c>
      <c r="AA402" s="398" t="s">
        <v>521</v>
      </c>
      <c r="AB402" s="398" t="s">
        <v>522</v>
      </c>
      <c r="AC402" s="398" t="s">
        <v>523</v>
      </c>
    </row>
    <row r="403" spans="9:29">
      <c r="I403" s="209" t="s">
        <v>380</v>
      </c>
      <c r="J403" s="64"/>
      <c r="K403" s="64"/>
      <c r="L403" s="64"/>
      <c r="M403" s="62"/>
      <c r="N403" s="210">
        <f>N391/N$605</f>
        <v>8.468</v>
      </c>
      <c r="O403" s="210">
        <f>O391/N$605</f>
        <v>10.5007</v>
      </c>
      <c r="P403" s="210">
        <f>P391/N$605</f>
        <v>10</v>
      </c>
      <c r="Q403" s="210">
        <f>Q391/N$605</f>
        <v>11.9495</v>
      </c>
      <c r="R403" s="210">
        <f>R391/N$605</f>
        <v>10</v>
      </c>
      <c r="S403" s="210">
        <f>S391/N$605</f>
        <v>14.165700000000001</v>
      </c>
      <c r="T403" s="237">
        <f>T391/N$605</f>
        <v>17.513999999999999</v>
      </c>
      <c r="U403" s="237">
        <f>U391/N$605</f>
        <v>17.923034820000002</v>
      </c>
      <c r="V403" s="237">
        <f>V391/N$605</f>
        <v>30.8</v>
      </c>
      <c r="W403" s="237">
        <f>W391/N$605</f>
        <v>37.061999999999998</v>
      </c>
      <c r="X403" s="237">
        <f t="shared" ref="X403:X408" si="47">X391/N$605</f>
        <v>55.38</v>
      </c>
      <c r="Y403" s="237">
        <f t="shared" ref="Y403:Y408" si="48">Y391/N$605</f>
        <v>53.968199999999996</v>
      </c>
      <c r="Z403" s="157"/>
      <c r="AA403" s="157"/>
      <c r="AB403" s="157"/>
      <c r="AC403" s="157"/>
    </row>
    <row r="404" spans="9:29">
      <c r="I404" s="209" t="s">
        <v>381</v>
      </c>
      <c r="J404" s="64"/>
      <c r="K404" s="64"/>
      <c r="L404" s="64"/>
      <c r="M404" s="62"/>
      <c r="N404" s="210">
        <f>N392/N$605</f>
        <v>0</v>
      </c>
      <c r="O404" s="210">
        <f>O392/N$605</f>
        <v>0.22540000000000002</v>
      </c>
      <c r="P404" s="210">
        <f>P392/N$605</f>
        <v>0</v>
      </c>
      <c r="Q404" s="210">
        <f>Q392/N$605</f>
        <v>0.1585</v>
      </c>
      <c r="R404" s="210">
        <f>R392/N$605</f>
        <v>0</v>
      </c>
      <c r="S404" s="210">
        <f>S392/N$605</f>
        <v>0.3584</v>
      </c>
      <c r="T404" s="237">
        <f>T392/N$605</f>
        <v>0</v>
      </c>
      <c r="U404" s="237">
        <f>U392/N$605</f>
        <v>0.8643630000000001</v>
      </c>
      <c r="V404" s="237">
        <f>V392/N$605</f>
        <v>0</v>
      </c>
      <c r="W404" s="237">
        <f>W392/N$605</f>
        <v>0.45</v>
      </c>
      <c r="X404" s="237">
        <f t="shared" si="47"/>
        <v>0</v>
      </c>
      <c r="Y404" s="237">
        <f t="shared" si="48"/>
        <v>0.93559999999999999</v>
      </c>
      <c r="Z404" s="157"/>
      <c r="AA404" s="157"/>
      <c r="AB404" s="157"/>
      <c r="AC404" s="157"/>
    </row>
    <row r="405" spans="9:29">
      <c r="I405" s="209" t="s">
        <v>382</v>
      </c>
      <c r="J405" s="64"/>
      <c r="K405" s="64"/>
      <c r="L405" s="64"/>
      <c r="M405" s="62"/>
      <c r="N405" s="210">
        <f>N393/N$605</f>
        <v>3.1320000000000001</v>
      </c>
      <c r="O405" s="210">
        <f>O393/N$605</f>
        <v>1.7173</v>
      </c>
      <c r="P405" s="210">
        <f>P393/N$605</f>
        <v>3.4</v>
      </c>
      <c r="Q405" s="210">
        <f>Q393/N$605</f>
        <v>2.1203000000000003</v>
      </c>
      <c r="R405" s="210">
        <f>R393/N$605</f>
        <v>3.4</v>
      </c>
      <c r="S405" s="210">
        <f>S393/N$605</f>
        <v>2.2671000000000001</v>
      </c>
      <c r="T405" s="237">
        <f>T393/N$605</f>
        <v>3.8</v>
      </c>
      <c r="U405" s="237">
        <f>U393/N$605</f>
        <v>5.1162725200000008</v>
      </c>
      <c r="V405" s="237">
        <f>V393/N$605</f>
        <v>3.5</v>
      </c>
      <c r="W405" s="237">
        <f>W393/N$605</f>
        <v>3.8421999999999996</v>
      </c>
      <c r="X405" s="237">
        <f t="shared" si="47"/>
        <v>0</v>
      </c>
      <c r="Y405" s="237">
        <f t="shared" si="48"/>
        <v>8.7119</v>
      </c>
      <c r="Z405" s="157"/>
      <c r="AA405" s="157"/>
      <c r="AB405" s="157"/>
      <c r="AC405" s="157"/>
    </row>
    <row r="406" spans="9:29">
      <c r="I406" s="209" t="s">
        <v>383</v>
      </c>
      <c r="J406" s="64"/>
      <c r="K406" s="64"/>
      <c r="L406" s="64"/>
      <c r="M406" s="62"/>
      <c r="N406" s="210">
        <f>N394/N$605</f>
        <v>31.627180069999998</v>
      </c>
      <c r="O406" s="210">
        <f>O394/N$605</f>
        <v>31.627180069999998</v>
      </c>
      <c r="P406" s="210">
        <f>P394/N$605</f>
        <v>35.178976999999996</v>
      </c>
      <c r="Q406" s="210">
        <f>Q394/N$605</f>
        <v>35.178976999999996</v>
      </c>
      <c r="R406" s="210">
        <f>R394/N$605</f>
        <v>55.959262000000003</v>
      </c>
      <c r="S406" s="210">
        <f>S394/N$605</f>
        <v>55.959262000000003</v>
      </c>
      <c r="T406" s="237">
        <f>T394/N$605</f>
        <v>16.668577539999998</v>
      </c>
      <c r="U406" s="237">
        <f>U394/N$605</f>
        <v>16.668577539999998</v>
      </c>
      <c r="V406" s="237">
        <f>V394/N$605</f>
        <v>37.955940630000008</v>
      </c>
      <c r="W406" s="237">
        <f>W394/N$605</f>
        <v>37.955940630000008</v>
      </c>
      <c r="X406" s="237">
        <f t="shared" si="47"/>
        <v>39.2224</v>
      </c>
      <c r="Y406" s="237">
        <f t="shared" si="48"/>
        <v>39.2224</v>
      </c>
      <c r="Z406" s="157"/>
      <c r="AA406" s="157"/>
      <c r="AB406" s="157"/>
      <c r="AC406" s="157"/>
    </row>
    <row r="407" spans="9:29">
      <c r="I407" s="209" t="s">
        <v>384</v>
      </c>
      <c r="J407" s="64"/>
      <c r="K407" s="64"/>
      <c r="L407" s="64"/>
      <c r="M407" s="62"/>
      <c r="N407" s="210">
        <f>N395/N$605</f>
        <v>88.311312999999998</v>
      </c>
      <c r="O407" s="210">
        <f>O395/N$605</f>
        <v>88.311312999999998</v>
      </c>
      <c r="P407" s="210">
        <f>P395/N$605</f>
        <v>95.553572000000003</v>
      </c>
      <c r="Q407" s="210">
        <f>Q395/N$605</f>
        <v>95.553572000000003</v>
      </c>
      <c r="R407" s="210">
        <f>R395/N$605</f>
        <v>108.579151</v>
      </c>
      <c r="S407" s="210">
        <f>S395/N$605</f>
        <v>108.579151</v>
      </c>
      <c r="T407" s="237">
        <f>T395/N$605</f>
        <v>121.49518803000001</v>
      </c>
      <c r="U407" s="237">
        <f>U395/N$605</f>
        <v>121.49518803000001</v>
      </c>
      <c r="V407" s="237">
        <f>V395/N$605</f>
        <v>128.80530000000002</v>
      </c>
      <c r="W407" s="237">
        <f>W395/N$605</f>
        <v>128.80530000000002</v>
      </c>
      <c r="X407" s="237">
        <f t="shared" si="47"/>
        <v>136.2705</v>
      </c>
      <c r="Y407" s="237">
        <f t="shared" si="48"/>
        <v>136.2705</v>
      </c>
      <c r="Z407" s="157"/>
      <c r="AA407" s="157"/>
      <c r="AB407" s="157"/>
      <c r="AC407" s="157"/>
    </row>
    <row r="408" spans="9:29">
      <c r="I408" s="68" t="s">
        <v>48</v>
      </c>
      <c r="J408" s="64"/>
      <c r="K408" s="64"/>
      <c r="L408" s="64"/>
      <c r="M408" s="62"/>
      <c r="N408" s="211">
        <f t="shared" ref="N408:S408" si="49">SUM(N403:N407)</f>
        <v>131.53849306999999</v>
      </c>
      <c r="O408" s="211">
        <f t="shared" si="49"/>
        <v>132.38189306999999</v>
      </c>
      <c r="P408" s="211">
        <f t="shared" si="49"/>
        <v>144.13254899999998</v>
      </c>
      <c r="Q408" s="211">
        <f t="shared" si="49"/>
        <v>144.960849</v>
      </c>
      <c r="R408" s="211">
        <f t="shared" si="49"/>
        <v>177.938413</v>
      </c>
      <c r="S408" s="211">
        <f t="shared" si="49"/>
        <v>181.32961299999999</v>
      </c>
      <c r="T408" s="211">
        <f>SUM(T403:T407)</f>
        <v>159.47776557</v>
      </c>
      <c r="U408" s="211">
        <f>SUM(U403:U407)</f>
        <v>162.06743591000003</v>
      </c>
      <c r="V408" s="211">
        <f>SUM(V403:V407)</f>
        <v>201.06124063000001</v>
      </c>
      <c r="W408" s="211">
        <f>SUM(W403:W407)</f>
        <v>208.11544063000002</v>
      </c>
      <c r="X408" s="237">
        <f t="shared" si="47"/>
        <v>230.87289999999999</v>
      </c>
      <c r="Y408" s="237">
        <f t="shared" si="48"/>
        <v>239.1086</v>
      </c>
      <c r="Z408" s="157"/>
      <c r="AA408" s="157"/>
      <c r="AB408" s="157"/>
      <c r="AC408" s="157"/>
    </row>
    <row r="409" spans="9:29" s="10" customFormat="1">
      <c r="I409" s="91"/>
      <c r="J409" s="173"/>
      <c r="K409" s="173"/>
      <c r="L409" s="173"/>
      <c r="N409" s="181"/>
      <c r="O409" s="181"/>
      <c r="P409" s="181"/>
      <c r="Q409" s="181"/>
      <c r="R409" s="181"/>
      <c r="S409" s="181"/>
    </row>
    <row r="410" spans="9:29">
      <c r="I410" s="207"/>
      <c r="M410"/>
      <c r="N410" s="76"/>
      <c r="O410" s="76"/>
      <c r="P410" s="76"/>
      <c r="Q410" s="76"/>
      <c r="R410" s="76"/>
      <c r="S410" s="76"/>
      <c r="T410"/>
      <c r="U410"/>
      <c r="V410"/>
      <c r="W410"/>
    </row>
    <row r="411" spans="9:29">
      <c r="I411" s="62"/>
      <c r="J411" s="64"/>
      <c r="K411" s="64"/>
      <c r="L411" s="64"/>
      <c r="M411" s="64"/>
      <c r="N411" s="148" t="s">
        <v>374</v>
      </c>
      <c r="O411" s="148" t="s">
        <v>375</v>
      </c>
      <c r="P411" s="148" t="s">
        <v>376</v>
      </c>
      <c r="Q411" s="148" t="s">
        <v>377</v>
      </c>
      <c r="R411" s="148" t="s">
        <v>378</v>
      </c>
      <c r="S411" s="148" t="s">
        <v>379</v>
      </c>
      <c r="T411" s="148" t="s">
        <v>403</v>
      </c>
      <c r="U411" s="148" t="s">
        <v>404</v>
      </c>
      <c r="V411" s="68" t="s">
        <v>413</v>
      </c>
      <c r="W411" s="68" t="s">
        <v>414</v>
      </c>
      <c r="X411" s="68" t="s">
        <v>428</v>
      </c>
      <c r="Y411" s="68" t="s">
        <v>429</v>
      </c>
      <c r="Z411" s="398" t="s">
        <v>520</v>
      </c>
      <c r="AA411" s="398" t="s">
        <v>521</v>
      </c>
      <c r="AB411" s="398" t="s">
        <v>522</v>
      </c>
      <c r="AC411" s="398" t="s">
        <v>523</v>
      </c>
    </row>
    <row r="412" spans="9:29">
      <c r="I412" s="245" t="s">
        <v>426</v>
      </c>
      <c r="J412" s="64"/>
      <c r="K412" s="64"/>
      <c r="L412" s="64"/>
      <c r="M412" s="65"/>
      <c r="N412" s="100">
        <f t="shared" ref="N412:U412" si="50">N403+N404+N405</f>
        <v>11.6</v>
      </c>
      <c r="O412" s="100">
        <f t="shared" si="50"/>
        <v>12.4434</v>
      </c>
      <c r="P412" s="100">
        <f t="shared" si="50"/>
        <v>13.4</v>
      </c>
      <c r="Q412" s="100">
        <f t="shared" si="50"/>
        <v>14.228300000000001</v>
      </c>
      <c r="R412" s="100">
        <f t="shared" si="50"/>
        <v>13.4</v>
      </c>
      <c r="S412" s="100">
        <f t="shared" si="50"/>
        <v>16.7912</v>
      </c>
      <c r="T412" s="100">
        <f t="shared" si="50"/>
        <v>21.314</v>
      </c>
      <c r="U412" s="100">
        <f t="shared" si="50"/>
        <v>23.903670340000005</v>
      </c>
      <c r="V412" s="100">
        <f>V403+V404+V405</f>
        <v>34.299999999999997</v>
      </c>
      <c r="W412" s="100">
        <f>W403+W404+W405</f>
        <v>41.354199999999999</v>
      </c>
      <c r="X412" s="100">
        <f>X403+X404+X405</f>
        <v>55.38</v>
      </c>
      <c r="Y412" s="100">
        <f>Y403+Y404+Y405</f>
        <v>63.615699999999997</v>
      </c>
      <c r="Z412" s="157"/>
      <c r="AA412" s="157"/>
      <c r="AB412" s="157"/>
      <c r="AC412" s="157"/>
    </row>
    <row r="413" spans="9:29">
      <c r="I413" s="59" t="s">
        <v>227</v>
      </c>
      <c r="J413" s="64"/>
      <c r="K413" s="64"/>
      <c r="L413" s="64"/>
      <c r="M413" s="65"/>
      <c r="N413" s="100">
        <f t="shared" ref="N413:S414" si="51">N406</f>
        <v>31.627180069999998</v>
      </c>
      <c r="O413" s="100">
        <f t="shared" si="51"/>
        <v>31.627180069999998</v>
      </c>
      <c r="P413" s="100">
        <f t="shared" si="51"/>
        <v>35.178976999999996</v>
      </c>
      <c r="Q413" s="100">
        <f t="shared" si="51"/>
        <v>35.178976999999996</v>
      </c>
      <c r="R413" s="100">
        <f t="shared" si="51"/>
        <v>55.959262000000003</v>
      </c>
      <c r="S413" s="100">
        <f t="shared" si="51"/>
        <v>55.959262000000003</v>
      </c>
      <c r="T413" s="100">
        <f t="shared" ref="T413:Y414" si="52">T406</f>
        <v>16.668577539999998</v>
      </c>
      <c r="U413" s="100">
        <f t="shared" si="52"/>
        <v>16.668577539999998</v>
      </c>
      <c r="V413" s="100">
        <f t="shared" si="52"/>
        <v>37.955940630000008</v>
      </c>
      <c r="W413" s="100">
        <f t="shared" si="52"/>
        <v>37.955940630000008</v>
      </c>
      <c r="X413" s="100">
        <f t="shared" si="52"/>
        <v>39.2224</v>
      </c>
      <c r="Y413" s="100">
        <f t="shared" si="52"/>
        <v>39.2224</v>
      </c>
      <c r="Z413" s="157"/>
      <c r="AA413" s="157"/>
      <c r="AB413" s="157"/>
      <c r="AC413" s="157"/>
    </row>
    <row r="414" spans="9:29">
      <c r="I414" s="59" t="s">
        <v>19</v>
      </c>
      <c r="J414" s="64"/>
      <c r="K414" s="64"/>
      <c r="L414" s="64"/>
      <c r="M414" s="65"/>
      <c r="N414" s="100">
        <f t="shared" si="51"/>
        <v>88.311312999999998</v>
      </c>
      <c r="O414" s="100">
        <f t="shared" si="51"/>
        <v>88.311312999999998</v>
      </c>
      <c r="P414" s="100">
        <f t="shared" si="51"/>
        <v>95.553572000000003</v>
      </c>
      <c r="Q414" s="100">
        <f t="shared" si="51"/>
        <v>95.553572000000003</v>
      </c>
      <c r="R414" s="100">
        <f t="shared" si="51"/>
        <v>108.579151</v>
      </c>
      <c r="S414" s="100">
        <f t="shared" si="51"/>
        <v>108.579151</v>
      </c>
      <c r="T414" s="100">
        <f t="shared" si="52"/>
        <v>121.49518803000001</v>
      </c>
      <c r="U414" s="100">
        <f t="shared" si="52"/>
        <v>121.49518803000001</v>
      </c>
      <c r="V414" s="100">
        <f t="shared" si="52"/>
        <v>128.80530000000002</v>
      </c>
      <c r="W414" s="100">
        <f t="shared" si="52"/>
        <v>128.80530000000002</v>
      </c>
      <c r="X414" s="100">
        <f t="shared" si="52"/>
        <v>136.2705</v>
      </c>
      <c r="Y414" s="100">
        <f t="shared" si="52"/>
        <v>136.2705</v>
      </c>
      <c r="Z414" s="157"/>
      <c r="AA414" s="157"/>
      <c r="AB414" s="157"/>
      <c r="AC414" s="157"/>
    </row>
    <row r="415" spans="9:29">
      <c r="I415" s="59" t="s">
        <v>48</v>
      </c>
      <c r="J415" s="64"/>
      <c r="K415" s="64"/>
      <c r="L415" s="64"/>
      <c r="M415" s="65"/>
      <c r="N415" s="134">
        <f t="shared" ref="N415:S415" si="53">SUM(N412:N414)</f>
        <v>131.53849306999999</v>
      </c>
      <c r="O415" s="134">
        <f t="shared" si="53"/>
        <v>132.38189306999999</v>
      </c>
      <c r="P415" s="134">
        <f t="shared" si="53"/>
        <v>144.13254899999998</v>
      </c>
      <c r="Q415" s="134">
        <f t="shared" si="53"/>
        <v>144.960849</v>
      </c>
      <c r="R415" s="134">
        <f t="shared" si="53"/>
        <v>177.938413</v>
      </c>
      <c r="S415" s="134">
        <f t="shared" si="53"/>
        <v>181.32961299999999</v>
      </c>
      <c r="T415" s="134">
        <f t="shared" ref="T415:Y415" si="54">SUM(T412:T414)</f>
        <v>159.47776557</v>
      </c>
      <c r="U415" s="134">
        <f t="shared" si="54"/>
        <v>162.06743591000003</v>
      </c>
      <c r="V415" s="134">
        <f t="shared" si="54"/>
        <v>201.06124063000001</v>
      </c>
      <c r="W415" s="134">
        <f t="shared" si="54"/>
        <v>208.11544063000002</v>
      </c>
      <c r="X415" s="134">
        <f t="shared" si="54"/>
        <v>230.87290000000002</v>
      </c>
      <c r="Y415" s="134">
        <f t="shared" si="54"/>
        <v>239.1086</v>
      </c>
      <c r="Z415" s="157"/>
      <c r="AA415" s="157"/>
      <c r="AB415" s="157"/>
      <c r="AC415" s="157"/>
    </row>
    <row r="416" spans="9:29">
      <c r="M416" s="158"/>
      <c r="P416" s="171"/>
      <c r="Q416" s="171"/>
      <c r="R416" s="171"/>
      <c r="S416" s="171"/>
      <c r="V416"/>
      <c r="W416"/>
    </row>
    <row r="417" spans="1:29">
      <c r="I417" s="71" t="s">
        <v>408</v>
      </c>
      <c r="J417" s="64"/>
      <c r="K417" s="64"/>
      <c r="L417" s="64"/>
      <c r="M417" s="65"/>
      <c r="N417" s="64"/>
      <c r="O417" s="64"/>
      <c r="P417" s="64"/>
      <c r="Q417" s="64"/>
      <c r="R417" s="64">
        <v>1000</v>
      </c>
      <c r="S417" s="64"/>
      <c r="T417" s="65"/>
      <c r="U417" s="64"/>
      <c r="V417" s="62"/>
      <c r="W417" s="62"/>
      <c r="X417" s="62"/>
      <c r="Y417" s="62"/>
      <c r="Z417" s="62"/>
      <c r="AA417" s="62"/>
      <c r="AB417" s="62"/>
      <c r="AC417" s="62"/>
    </row>
    <row r="418" spans="1:29" ht="25.5">
      <c r="I418" s="215" t="s">
        <v>387</v>
      </c>
      <c r="J418" s="215" t="s">
        <v>396</v>
      </c>
      <c r="K418" s="215" t="s">
        <v>397</v>
      </c>
      <c r="L418" s="215" t="s">
        <v>398</v>
      </c>
      <c r="M418" s="215" t="s">
        <v>399</v>
      </c>
      <c r="N418" s="215" t="s">
        <v>388</v>
      </c>
      <c r="O418" s="215" t="s">
        <v>389</v>
      </c>
      <c r="P418" s="215" t="s">
        <v>390</v>
      </c>
      <c r="Q418" s="215" t="s">
        <v>391</v>
      </c>
      <c r="R418" s="215" t="s">
        <v>392</v>
      </c>
      <c r="S418" s="215" t="s">
        <v>393</v>
      </c>
      <c r="T418" s="215" t="s">
        <v>405</v>
      </c>
      <c r="U418" s="215" t="s">
        <v>406</v>
      </c>
      <c r="V418" s="215" t="s">
        <v>424</v>
      </c>
      <c r="W418" s="215" t="s">
        <v>416</v>
      </c>
      <c r="X418" s="215" t="s">
        <v>430</v>
      </c>
      <c r="Y418" s="215" t="s">
        <v>431</v>
      </c>
      <c r="Z418" s="402" t="s">
        <v>520</v>
      </c>
      <c r="AA418" s="402" t="s">
        <v>521</v>
      </c>
      <c r="AB418" s="402" t="s">
        <v>522</v>
      </c>
      <c r="AC418" s="402" t="s">
        <v>523</v>
      </c>
    </row>
    <row r="419" spans="1:29">
      <c r="A419" t="s">
        <v>367</v>
      </c>
      <c r="I419" s="61" t="s">
        <v>49</v>
      </c>
      <c r="J419" s="62">
        <v>61895.1</v>
      </c>
      <c r="K419" s="62">
        <v>59602.553000000007</v>
      </c>
      <c r="L419" s="62">
        <v>65797.2</v>
      </c>
      <c r="M419" s="62">
        <v>65560.3</v>
      </c>
      <c r="N419" s="216">
        <v>70925.600000000006</v>
      </c>
      <c r="O419" s="216">
        <v>67490.600000000006</v>
      </c>
      <c r="P419" s="217">
        <v>78111.5</v>
      </c>
      <c r="Q419" s="217">
        <v>73812.899999999994</v>
      </c>
      <c r="R419" s="218">
        <v>80099</v>
      </c>
      <c r="S419" s="218">
        <v>75511</v>
      </c>
      <c r="T419" s="218">
        <v>93765.108999999997</v>
      </c>
      <c r="U419" s="218">
        <v>87014.648019999993</v>
      </c>
      <c r="V419" s="218">
        <v>93296.654999999999</v>
      </c>
      <c r="W419" s="218">
        <v>93757.604189999998</v>
      </c>
      <c r="X419" s="218">
        <v>99498.043000000005</v>
      </c>
      <c r="Y419" s="218">
        <v>99285.917220000003</v>
      </c>
      <c r="Z419" s="157"/>
      <c r="AA419" s="157"/>
      <c r="AB419" s="157"/>
      <c r="AC419" s="157"/>
    </row>
    <row r="420" spans="1:29">
      <c r="A420" t="s">
        <v>368</v>
      </c>
      <c r="I420" s="59" t="s">
        <v>50</v>
      </c>
      <c r="J420" s="62">
        <v>5155.8</v>
      </c>
      <c r="K420" s="62">
        <v>4761.9470000000001</v>
      </c>
      <c r="L420" s="62">
        <v>4972.8999999999996</v>
      </c>
      <c r="M420" s="62">
        <v>4670</v>
      </c>
      <c r="N420" s="216">
        <v>5926</v>
      </c>
      <c r="O420" s="216">
        <v>4209.3999999999996</v>
      </c>
      <c r="P420" s="217">
        <v>6499.1</v>
      </c>
      <c r="Q420" s="217">
        <v>5361.8</v>
      </c>
      <c r="R420" s="218">
        <v>6999</v>
      </c>
      <c r="S420" s="218">
        <v>6247</v>
      </c>
      <c r="T420" s="218">
        <v>7748.0219999999999</v>
      </c>
      <c r="U420" s="218">
        <v>8643.5546999999988</v>
      </c>
      <c r="V420" s="218">
        <v>6748.0219999999999</v>
      </c>
      <c r="W420" s="218">
        <v>7261.4248200000002</v>
      </c>
      <c r="X420" s="218">
        <v>9432.9060000000009</v>
      </c>
      <c r="Y420" s="218">
        <v>11037.76117</v>
      </c>
      <c r="Z420" s="157"/>
      <c r="AA420" s="157"/>
      <c r="AB420" s="157"/>
      <c r="AC420" s="157"/>
    </row>
    <row r="421" spans="1:29">
      <c r="A421" t="s">
        <v>369</v>
      </c>
      <c r="I421" s="59" t="s">
        <v>51</v>
      </c>
      <c r="J421" s="62">
        <v>14740.8</v>
      </c>
      <c r="K421" s="62">
        <v>14049.023999999999</v>
      </c>
      <c r="L421" s="62">
        <v>15956.4</v>
      </c>
      <c r="M421" s="62">
        <v>15077.8</v>
      </c>
      <c r="N421" s="216">
        <v>18734.400000000001</v>
      </c>
      <c r="O421" s="216">
        <v>17424.599999999999</v>
      </c>
      <c r="P421" s="217">
        <v>18634.400000000001</v>
      </c>
      <c r="Q421" s="217">
        <v>17140.900000000001</v>
      </c>
      <c r="R421" s="218">
        <v>20939</v>
      </c>
      <c r="S421" s="218">
        <v>20651</v>
      </c>
      <c r="T421" s="218">
        <v>19762.021000000001</v>
      </c>
      <c r="U421" s="218">
        <v>28677.140500000001</v>
      </c>
      <c r="V421" s="218">
        <v>27084.314999999999</v>
      </c>
      <c r="W421" s="218">
        <v>36044.077420000001</v>
      </c>
      <c r="X421" s="218">
        <v>28951.544999999998</v>
      </c>
      <c r="Y421" s="218">
        <v>29188.256969999999</v>
      </c>
      <c r="Z421" s="157"/>
      <c r="AA421" s="157"/>
      <c r="AB421" s="157"/>
      <c r="AC421" s="157"/>
    </row>
    <row r="422" spans="1:29">
      <c r="A422" t="s">
        <v>370</v>
      </c>
      <c r="I422" s="59" t="s">
        <v>52</v>
      </c>
      <c r="J422" s="62">
        <v>1478.3</v>
      </c>
      <c r="K422" s="62">
        <v>5601.3</v>
      </c>
      <c r="L422" s="62">
        <v>1475.3</v>
      </c>
      <c r="M422" s="62">
        <v>5428.3</v>
      </c>
      <c r="N422" s="216">
        <v>2475.3000000000002</v>
      </c>
      <c r="O422" s="216">
        <v>10651.1</v>
      </c>
      <c r="P422" s="217">
        <v>2975.3</v>
      </c>
      <c r="Q422" s="217">
        <v>6253.3</v>
      </c>
      <c r="R422" s="218">
        <v>3325</v>
      </c>
      <c r="S422" s="218">
        <v>11062</v>
      </c>
      <c r="T422" s="218">
        <v>3975.3</v>
      </c>
      <c r="U422" s="218">
        <v>10668.10132</v>
      </c>
      <c r="V422" s="218">
        <v>7105.0529999999999</v>
      </c>
      <c r="W422" s="218">
        <v>19420.92841</v>
      </c>
      <c r="X422" s="218">
        <v>5355.3</v>
      </c>
      <c r="Y422" s="218">
        <v>8328.0939999999991</v>
      </c>
      <c r="Z422" s="157"/>
      <c r="AA422" s="157"/>
      <c r="AB422" s="157"/>
      <c r="AC422" s="157"/>
    </row>
    <row r="423" spans="1:29">
      <c r="A423" t="s">
        <v>371</v>
      </c>
      <c r="I423" s="59" t="s">
        <v>53</v>
      </c>
      <c r="J423" s="62">
        <v>5240.6000000000004</v>
      </c>
      <c r="K423" s="62">
        <v>5191.2</v>
      </c>
      <c r="L423" s="62">
        <v>1600</v>
      </c>
      <c r="M423" s="62">
        <v>1600</v>
      </c>
      <c r="N423" s="216">
        <v>1350</v>
      </c>
      <c r="O423" s="217">
        <v>800.2</v>
      </c>
      <c r="P423" s="217">
        <v>2733.3</v>
      </c>
      <c r="Q423" s="217">
        <v>1574.9</v>
      </c>
      <c r="R423" s="218">
        <v>10220</v>
      </c>
      <c r="S423" s="218">
        <v>8943</v>
      </c>
      <c r="T423" s="218">
        <v>4000</v>
      </c>
      <c r="U423" s="218">
        <v>3276.07447</v>
      </c>
      <c r="V423" s="218">
        <v>0</v>
      </c>
      <c r="W423" s="218">
        <v>5270.1361699999998</v>
      </c>
      <c r="X423" s="218">
        <v>3000</v>
      </c>
      <c r="Y423" s="218">
        <v>9180.70831</v>
      </c>
      <c r="Z423" s="218"/>
      <c r="AA423" s="218"/>
      <c r="AB423" s="218"/>
      <c r="AC423" s="218"/>
    </row>
    <row r="424" spans="1:29">
      <c r="A424" t="s">
        <v>372</v>
      </c>
      <c r="I424" s="59" t="s">
        <v>54</v>
      </c>
      <c r="J424" s="62">
        <v>5200</v>
      </c>
      <c r="K424" s="62">
        <v>4500</v>
      </c>
      <c r="L424" s="62">
        <v>3000</v>
      </c>
      <c r="M424" s="62">
        <v>500</v>
      </c>
      <c r="N424" s="217">
        <v>500</v>
      </c>
      <c r="O424" s="217">
        <v>496.6</v>
      </c>
      <c r="P424" s="209"/>
      <c r="Q424" s="209"/>
      <c r="R424" s="218">
        <v>3846</v>
      </c>
      <c r="S424" s="218">
        <v>2846</v>
      </c>
      <c r="T424" s="218">
        <v>1314</v>
      </c>
      <c r="U424" s="218">
        <v>146.625</v>
      </c>
      <c r="V424" s="218">
        <v>0</v>
      </c>
      <c r="W424" s="218">
        <v>3000</v>
      </c>
      <c r="X424" s="218">
        <v>500</v>
      </c>
      <c r="Y424" s="218">
        <v>384.38484999999997</v>
      </c>
      <c r="Z424" s="218"/>
      <c r="AA424" s="218"/>
      <c r="AB424" s="218"/>
      <c r="AC424" s="218"/>
    </row>
    <row r="425" spans="1:29">
      <c r="A425" t="s">
        <v>433</v>
      </c>
      <c r="I425" s="245" t="s">
        <v>434</v>
      </c>
      <c r="J425" s="62"/>
      <c r="K425" s="62"/>
      <c r="L425" s="62"/>
      <c r="M425" s="62"/>
      <c r="N425" s="217"/>
      <c r="O425" s="217"/>
      <c r="P425" s="209"/>
      <c r="Q425" s="209"/>
      <c r="R425" s="218">
        <v>0</v>
      </c>
      <c r="S425" s="218">
        <v>0</v>
      </c>
      <c r="T425" s="218">
        <v>0</v>
      </c>
      <c r="U425" s="218">
        <v>0</v>
      </c>
      <c r="V425" s="218">
        <v>0</v>
      </c>
      <c r="W425" s="218">
        <v>0</v>
      </c>
      <c r="X425" s="218">
        <v>0</v>
      </c>
      <c r="Y425" s="218">
        <v>42481.037270000001</v>
      </c>
      <c r="Z425" s="218"/>
      <c r="AA425" s="218"/>
      <c r="AB425" s="218"/>
      <c r="AC425" s="218"/>
    </row>
    <row r="426" spans="1:29">
      <c r="I426" s="219" t="s">
        <v>21</v>
      </c>
      <c r="J426" s="220">
        <f t="shared" ref="J426:Q426" si="55">SUM(J419:J424)</f>
        <v>93710.6</v>
      </c>
      <c r="K426" s="220">
        <f t="shared" si="55"/>
        <v>93706.024000000005</v>
      </c>
      <c r="L426" s="220">
        <f t="shared" si="55"/>
        <v>92801.799999999988</v>
      </c>
      <c r="M426" s="220">
        <f t="shared" si="55"/>
        <v>92836.400000000009</v>
      </c>
      <c r="N426" s="220">
        <f t="shared" si="55"/>
        <v>99911.3</v>
      </c>
      <c r="O426" s="220">
        <f t="shared" si="55"/>
        <v>101072.50000000001</v>
      </c>
      <c r="P426" s="220">
        <f t="shared" si="55"/>
        <v>108953.60000000001</v>
      </c>
      <c r="Q426" s="220">
        <f t="shared" si="55"/>
        <v>104143.8</v>
      </c>
      <c r="R426" s="220">
        <f t="shared" ref="R426:Y426" si="56">SUM(R419:R425)</f>
        <v>125428</v>
      </c>
      <c r="S426" s="220">
        <f t="shared" si="56"/>
        <v>125260</v>
      </c>
      <c r="T426" s="220">
        <f t="shared" si="56"/>
        <v>130564.452</v>
      </c>
      <c r="U426" s="220">
        <f t="shared" si="56"/>
        <v>138426.14400999996</v>
      </c>
      <c r="V426" s="220">
        <f t="shared" si="56"/>
        <v>134234.04499999998</v>
      </c>
      <c r="W426" s="220">
        <f t="shared" si="56"/>
        <v>164754.17100999999</v>
      </c>
      <c r="X426" s="220">
        <f t="shared" si="56"/>
        <v>146737.79399999999</v>
      </c>
      <c r="Y426" s="220">
        <f t="shared" si="56"/>
        <v>199886.15979000001</v>
      </c>
      <c r="Z426" s="220"/>
      <c r="AA426" s="220"/>
      <c r="AB426" s="220"/>
      <c r="AC426" s="220"/>
    </row>
    <row r="427" spans="1:29">
      <c r="I427" s="208"/>
      <c r="M427" s="158"/>
      <c r="N427" s="214"/>
      <c r="O427" s="214"/>
      <c r="P427" s="214"/>
      <c r="Q427" s="214"/>
      <c r="R427" s="214"/>
      <c r="S427" s="214"/>
      <c r="T427" s="171"/>
      <c r="U427"/>
      <c r="V427"/>
      <c r="W427"/>
    </row>
    <row r="428" spans="1:29">
      <c r="I428" s="208"/>
      <c r="M428" s="158"/>
      <c r="N428" s="214"/>
      <c r="O428" s="214"/>
      <c r="P428" s="214"/>
      <c r="Q428" s="214"/>
      <c r="R428" s="214"/>
      <c r="S428" s="214"/>
      <c r="T428" s="171"/>
      <c r="U428"/>
      <c r="V428"/>
      <c r="W428"/>
    </row>
    <row r="429" spans="1:29" ht="25.5">
      <c r="I429" s="71" t="s">
        <v>409</v>
      </c>
      <c r="J429" s="215" t="s">
        <v>396</v>
      </c>
      <c r="K429" s="215" t="s">
        <v>397</v>
      </c>
      <c r="L429" s="215" t="s">
        <v>398</v>
      </c>
      <c r="M429" s="215" t="s">
        <v>399</v>
      </c>
      <c r="N429" s="215" t="s">
        <v>388</v>
      </c>
      <c r="O429" s="215" t="s">
        <v>389</v>
      </c>
      <c r="P429" s="215" t="s">
        <v>390</v>
      </c>
      <c r="Q429" s="215" t="s">
        <v>391</v>
      </c>
      <c r="R429" s="215" t="s">
        <v>392</v>
      </c>
      <c r="S429" s="215" t="s">
        <v>393</v>
      </c>
      <c r="T429" s="215" t="s">
        <v>405</v>
      </c>
      <c r="U429" s="215" t="s">
        <v>406</v>
      </c>
      <c r="V429" s="215" t="s">
        <v>425</v>
      </c>
      <c r="W429" s="215" t="s">
        <v>416</v>
      </c>
      <c r="X429" s="215" t="s">
        <v>432</v>
      </c>
      <c r="Y429" s="215" t="s">
        <v>431</v>
      </c>
      <c r="Z429" s="215" t="s">
        <v>524</v>
      </c>
      <c r="AA429" s="215" t="s">
        <v>525</v>
      </c>
      <c r="AB429" s="215" t="s">
        <v>526</v>
      </c>
      <c r="AC429" s="215" t="s">
        <v>527</v>
      </c>
    </row>
    <row r="430" spans="1:29">
      <c r="I430" s="59" t="s">
        <v>54</v>
      </c>
      <c r="J430" s="221">
        <f>J424/R$417</f>
        <v>5.2</v>
      </c>
      <c r="K430" s="221">
        <f>K424/R$417</f>
        <v>4.5</v>
      </c>
      <c r="L430" s="221">
        <f>L424/R$417</f>
        <v>3</v>
      </c>
      <c r="M430" s="221">
        <f>M424/R$417</f>
        <v>0.5</v>
      </c>
      <c r="N430" s="221">
        <f>N424/R$417</f>
        <v>0.5</v>
      </c>
      <c r="O430" s="221">
        <f>O424/R$417</f>
        <v>0.49660000000000004</v>
      </c>
      <c r="P430" s="221">
        <f>P424/R$417</f>
        <v>0</v>
      </c>
      <c r="Q430" s="221">
        <f>Q424/R$417</f>
        <v>0</v>
      </c>
      <c r="R430" s="221">
        <f>R424/R$417</f>
        <v>3.8460000000000001</v>
      </c>
      <c r="S430" s="221">
        <f>S424/R$417</f>
        <v>2.8460000000000001</v>
      </c>
      <c r="T430" s="221">
        <f>T424/R$417</f>
        <v>1.3140000000000001</v>
      </c>
      <c r="U430" s="221">
        <f>U424/R$417</f>
        <v>0.14662500000000001</v>
      </c>
      <c r="V430" s="221">
        <f>V424/R$417</f>
        <v>0</v>
      </c>
      <c r="W430" s="221">
        <f>W424/R$417</f>
        <v>3</v>
      </c>
      <c r="X430" s="221">
        <f>X424/$R$417</f>
        <v>0.5</v>
      </c>
      <c r="Y430" s="221">
        <f>Y424/$R$417</f>
        <v>0.38438484999999994</v>
      </c>
      <c r="Z430" s="221"/>
      <c r="AA430" s="221"/>
      <c r="AB430" s="221"/>
      <c r="AC430" s="221"/>
    </row>
    <row r="431" spans="1:29">
      <c r="I431" s="59" t="s">
        <v>52</v>
      </c>
      <c r="J431" s="221">
        <f>J422/R$417</f>
        <v>1.4782999999999999</v>
      </c>
      <c r="K431" s="221">
        <f>K422/R$417</f>
        <v>5.6013000000000002</v>
      </c>
      <c r="L431" s="221">
        <f>L422/R$417</f>
        <v>1.4753000000000001</v>
      </c>
      <c r="M431" s="221">
        <f>M422/R$417</f>
        <v>5.4283000000000001</v>
      </c>
      <c r="N431" s="221">
        <f>N422/R$417</f>
        <v>2.4753000000000003</v>
      </c>
      <c r="O431" s="221">
        <f>O422/R$417</f>
        <v>10.6511</v>
      </c>
      <c r="P431" s="221">
        <f>P422/R$417</f>
        <v>2.9753000000000003</v>
      </c>
      <c r="Q431" s="221">
        <f>Q422/R$417</f>
        <v>6.2533000000000003</v>
      </c>
      <c r="R431" s="221">
        <f>R422/R$417</f>
        <v>3.3250000000000002</v>
      </c>
      <c r="S431" s="221">
        <f>S422/R$417</f>
        <v>11.061999999999999</v>
      </c>
      <c r="T431" s="221">
        <f>T422/R$417</f>
        <v>3.9753000000000003</v>
      </c>
      <c r="U431" s="221">
        <f>U422/R$417</f>
        <v>10.66810132</v>
      </c>
      <c r="V431" s="221">
        <f>V422/R$417</f>
        <v>7.1050529999999998</v>
      </c>
      <c r="W431" s="221">
        <f>W422/R$417</f>
        <v>19.420928410000002</v>
      </c>
      <c r="X431" s="221">
        <f>X422/$R$417</f>
        <v>5.3553000000000006</v>
      </c>
      <c r="Y431" s="221">
        <f>Y422/$R$417</f>
        <v>8.3280939999999983</v>
      </c>
      <c r="Z431" s="221"/>
      <c r="AA431" s="221"/>
      <c r="AB431" s="221"/>
      <c r="AC431" s="221"/>
    </row>
    <row r="432" spans="1:29">
      <c r="I432" s="59" t="s">
        <v>53</v>
      </c>
      <c r="J432" s="221">
        <f>J423/R$417</f>
        <v>5.2406000000000006</v>
      </c>
      <c r="K432" s="221">
        <f>K423/R$417</f>
        <v>5.1912000000000003</v>
      </c>
      <c r="L432" s="221">
        <f>L423/R$417</f>
        <v>1.6</v>
      </c>
      <c r="M432" s="221">
        <f>M423/R$417</f>
        <v>1.6</v>
      </c>
      <c r="N432" s="221">
        <f>N423/R$417</f>
        <v>1.35</v>
      </c>
      <c r="O432" s="221">
        <f>O423/R$417</f>
        <v>0.80020000000000002</v>
      </c>
      <c r="P432" s="221">
        <f>P423/R$417</f>
        <v>2.7333000000000003</v>
      </c>
      <c r="Q432" s="221">
        <f>Q423/R$417</f>
        <v>1.5749000000000002</v>
      </c>
      <c r="R432" s="221">
        <f>R423/R$417</f>
        <v>10.220000000000001</v>
      </c>
      <c r="S432" s="221">
        <f>S423/R$417</f>
        <v>8.9429999999999996</v>
      </c>
      <c r="T432" s="221">
        <f>T423/R$417</f>
        <v>4</v>
      </c>
      <c r="U432" s="221">
        <f>U423/R$417</f>
        <v>3.2760744700000002</v>
      </c>
      <c r="V432" s="221">
        <f>V423/R$417</f>
        <v>0</v>
      </c>
      <c r="W432" s="221">
        <f>W423/R$417</f>
        <v>5.2701361699999998</v>
      </c>
      <c r="X432" s="221">
        <f>X423/$R$417</f>
        <v>3</v>
      </c>
      <c r="Y432" s="221">
        <f>Y423/$R$417</f>
        <v>9.18070831</v>
      </c>
      <c r="Z432" s="221"/>
      <c r="AA432" s="221"/>
      <c r="AB432" s="221"/>
      <c r="AC432" s="221"/>
    </row>
    <row r="433" spans="1:39">
      <c r="I433" s="59" t="s">
        <v>50</v>
      </c>
      <c r="J433" s="221">
        <f>J420/R$417</f>
        <v>5.1558000000000002</v>
      </c>
      <c r="K433" s="221">
        <f>K420/R$417</f>
        <v>4.7619470000000002</v>
      </c>
      <c r="L433" s="221">
        <f>L420/R$417</f>
        <v>4.9728999999999992</v>
      </c>
      <c r="M433" s="221">
        <f>M420/R$417</f>
        <v>4.67</v>
      </c>
      <c r="N433" s="221">
        <f>N420/R$417</f>
        <v>5.9260000000000002</v>
      </c>
      <c r="O433" s="221">
        <f>O420/R$417</f>
        <v>4.2093999999999996</v>
      </c>
      <c r="P433" s="221">
        <f>P420/R$417</f>
        <v>6.4991000000000003</v>
      </c>
      <c r="Q433" s="221">
        <f>Q420/R$417</f>
        <v>5.3618000000000006</v>
      </c>
      <c r="R433" s="221">
        <f>R420/R$417</f>
        <v>6.9989999999999997</v>
      </c>
      <c r="S433" s="221">
        <f>S420/R$417</f>
        <v>6.2469999999999999</v>
      </c>
      <c r="T433" s="221">
        <f>T420/R$417</f>
        <v>7.7480219999999997</v>
      </c>
      <c r="U433" s="221">
        <f>U420/R$417</f>
        <v>8.6435546999999993</v>
      </c>
      <c r="V433" s="221">
        <f>V420/R$417</f>
        <v>6.7480219999999997</v>
      </c>
      <c r="W433" s="221">
        <f>W420/R$417</f>
        <v>7.2614248200000002</v>
      </c>
      <c r="X433" s="221">
        <f>X420/$R$417</f>
        <v>9.4329060000000009</v>
      </c>
      <c r="Y433" s="221">
        <f>Y420/$R$417</f>
        <v>11.03776117</v>
      </c>
      <c r="Z433" s="221"/>
      <c r="AA433" s="221"/>
      <c r="AB433" s="221"/>
      <c r="AC433" s="221"/>
    </row>
    <row r="434" spans="1:39">
      <c r="I434" s="59" t="s">
        <v>51</v>
      </c>
      <c r="J434" s="221">
        <f>J421/R$417</f>
        <v>14.7408</v>
      </c>
      <c r="K434" s="221">
        <f>K421/R$417</f>
        <v>14.049023999999999</v>
      </c>
      <c r="L434" s="221">
        <f>L421/R$417</f>
        <v>15.9564</v>
      </c>
      <c r="M434" s="221">
        <f>M421/R$417</f>
        <v>15.0778</v>
      </c>
      <c r="N434" s="221">
        <f>N421/R$417</f>
        <v>18.734400000000001</v>
      </c>
      <c r="O434" s="221">
        <f>O421/R$417</f>
        <v>17.424599999999998</v>
      </c>
      <c r="P434" s="221">
        <f>P421/R$417</f>
        <v>18.634400000000003</v>
      </c>
      <c r="Q434" s="221">
        <f>Q421/R$417</f>
        <v>17.140900000000002</v>
      </c>
      <c r="R434" s="221">
        <f>R421/R$417</f>
        <v>20.939</v>
      </c>
      <c r="S434" s="221">
        <f>S421/R$417</f>
        <v>20.651</v>
      </c>
      <c r="T434" s="221">
        <f>T421/R$417</f>
        <v>19.762021000000001</v>
      </c>
      <c r="U434" s="221">
        <f>U421/R$417</f>
        <v>28.6771405</v>
      </c>
      <c r="V434" s="221">
        <f>V421/R$417</f>
        <v>27.084315</v>
      </c>
      <c r="W434" s="221">
        <f>W421/R$417</f>
        <v>36.044077420000001</v>
      </c>
      <c r="X434" s="221">
        <f>X421/$R$417</f>
        <v>28.951544999999999</v>
      </c>
      <c r="Y434" s="221">
        <f>Y421/$R$417</f>
        <v>29.188256969999998</v>
      </c>
      <c r="Z434" s="221"/>
      <c r="AA434" s="221"/>
      <c r="AB434" s="221"/>
      <c r="AC434" s="221"/>
    </row>
    <row r="435" spans="1:39">
      <c r="A435" t="s">
        <v>433</v>
      </c>
      <c r="I435" s="245" t="s">
        <v>451</v>
      </c>
      <c r="J435" s="62"/>
      <c r="K435" s="62"/>
      <c r="L435" s="62"/>
      <c r="M435" s="62"/>
      <c r="N435" s="217"/>
      <c r="O435" s="217"/>
      <c r="P435" s="209"/>
      <c r="Q435" s="209"/>
      <c r="R435" s="248">
        <v>0</v>
      </c>
      <c r="S435" s="248">
        <v>0</v>
      </c>
      <c r="T435" s="248">
        <v>0</v>
      </c>
      <c r="U435" s="248">
        <v>0</v>
      </c>
      <c r="V435" s="248">
        <v>0</v>
      </c>
      <c r="W435" s="248">
        <v>0</v>
      </c>
      <c r="X435" s="221">
        <f>X425/$R$417</f>
        <v>0</v>
      </c>
      <c r="Y435" s="221">
        <f>Y425/$R$417</f>
        <v>42.481037270000002</v>
      </c>
      <c r="Z435" s="221"/>
      <c r="AA435" s="221"/>
      <c r="AB435" s="221"/>
      <c r="AC435" s="221"/>
    </row>
    <row r="436" spans="1:39">
      <c r="I436" s="61" t="s">
        <v>49</v>
      </c>
      <c r="J436" s="221">
        <f>J419/R$417</f>
        <v>61.895099999999999</v>
      </c>
      <c r="K436" s="221">
        <f>K419/R$417</f>
        <v>59.602553000000007</v>
      </c>
      <c r="L436" s="221">
        <f>L419/R$417</f>
        <v>65.797200000000004</v>
      </c>
      <c r="M436" s="221">
        <f>M419/R$417</f>
        <v>65.560299999999998</v>
      </c>
      <c r="N436" s="221">
        <f>N419/R$417</f>
        <v>70.925600000000003</v>
      </c>
      <c r="O436" s="221">
        <f>O419/R$417</f>
        <v>67.490600000000001</v>
      </c>
      <c r="P436" s="221">
        <f>P419/R$417</f>
        <v>78.111500000000007</v>
      </c>
      <c r="Q436" s="221">
        <f>Q419/R$417</f>
        <v>73.812899999999999</v>
      </c>
      <c r="R436" s="221">
        <f>R419/R$417</f>
        <v>80.099000000000004</v>
      </c>
      <c r="S436" s="221">
        <f>S419/R$417</f>
        <v>75.510999999999996</v>
      </c>
      <c r="T436" s="221">
        <f>T419/R$417</f>
        <v>93.765108999999995</v>
      </c>
      <c r="U436" s="221">
        <f>U419/R$417</f>
        <v>87.014648019999996</v>
      </c>
      <c r="V436" s="221">
        <f>V419/R$417</f>
        <v>93.296655000000001</v>
      </c>
      <c r="W436" s="221">
        <f>W419/R$417</f>
        <v>93.757604189999995</v>
      </c>
      <c r="X436" s="221">
        <f>X419/$R$417</f>
        <v>99.49804300000001</v>
      </c>
      <c r="Y436" s="221">
        <f>Y419/$R$417</f>
        <v>99.285917220000002</v>
      </c>
      <c r="Z436" s="221"/>
      <c r="AA436" s="221"/>
      <c r="AB436" s="221"/>
      <c r="AC436" s="221"/>
    </row>
    <row r="437" spans="1:39">
      <c r="I437" s="71" t="s">
        <v>48</v>
      </c>
      <c r="J437" s="222">
        <f t="shared" ref="J437:Q437" si="57">SUM(J431:J432)</f>
        <v>6.7189000000000005</v>
      </c>
      <c r="K437" s="222">
        <f t="shared" si="57"/>
        <v>10.7925</v>
      </c>
      <c r="L437" s="222">
        <f t="shared" si="57"/>
        <v>3.0753000000000004</v>
      </c>
      <c r="M437" s="222">
        <f t="shared" si="57"/>
        <v>7.0282999999999998</v>
      </c>
      <c r="N437" s="222">
        <f t="shared" si="57"/>
        <v>3.8253000000000004</v>
      </c>
      <c r="O437" s="222">
        <f t="shared" si="57"/>
        <v>11.4513</v>
      </c>
      <c r="P437" s="222">
        <f t="shared" si="57"/>
        <v>5.7086000000000006</v>
      </c>
      <c r="Q437" s="222">
        <f t="shared" si="57"/>
        <v>7.8282000000000007</v>
      </c>
      <c r="R437" s="222">
        <f t="shared" ref="R437:W437" si="58">SUM(R431:R435)</f>
        <v>41.483000000000004</v>
      </c>
      <c r="S437" s="222">
        <f t="shared" si="58"/>
        <v>46.902999999999999</v>
      </c>
      <c r="T437" s="222">
        <f t="shared" si="58"/>
        <v>35.485343</v>
      </c>
      <c r="U437" s="222">
        <f t="shared" si="58"/>
        <v>51.264870989999999</v>
      </c>
      <c r="V437" s="222">
        <f t="shared" si="58"/>
        <v>40.937390000000001</v>
      </c>
      <c r="W437" s="222">
        <f t="shared" si="58"/>
        <v>67.996566819999998</v>
      </c>
      <c r="X437" s="222">
        <f>SUM(X430:X436)</f>
        <v>146.73779400000001</v>
      </c>
      <c r="Y437" s="222">
        <f>SUM(Y430:Y436)</f>
        <v>199.88615978999999</v>
      </c>
      <c r="Z437" s="222"/>
      <c r="AA437" s="222"/>
      <c r="AB437" s="222"/>
      <c r="AC437" s="222"/>
    </row>
    <row r="438" spans="1:39" s="10" customFormat="1">
      <c r="J438" s="174"/>
      <c r="K438" s="174"/>
      <c r="L438" s="174"/>
      <c r="M438" s="174"/>
      <c r="N438" s="174"/>
      <c r="O438" s="174"/>
      <c r="P438" s="174"/>
      <c r="Q438" s="174"/>
      <c r="R438" s="174"/>
      <c r="S438" s="174"/>
      <c r="T438" s="174"/>
      <c r="U438" s="174"/>
      <c r="V438" s="174"/>
      <c r="W438" s="174"/>
      <c r="X438" s="177"/>
      <c r="Y438" s="177"/>
      <c r="Z438" s="177"/>
      <c r="AA438" s="177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</row>
    <row r="439" spans="1:39" s="10" customFormat="1" hidden="1">
      <c r="I439" s="381" t="s">
        <v>443</v>
      </c>
      <c r="J439" s="177"/>
      <c r="K439" s="177"/>
      <c r="L439" s="264">
        <v>2005</v>
      </c>
      <c r="M439" s="264">
        <v>2006</v>
      </c>
      <c r="N439" s="264">
        <v>2007</v>
      </c>
      <c r="O439" s="264">
        <v>2008</v>
      </c>
      <c r="P439" s="264">
        <v>2009</v>
      </c>
      <c r="Q439" s="264">
        <v>2010</v>
      </c>
      <c r="R439" s="264">
        <v>2011</v>
      </c>
      <c r="S439" s="177"/>
      <c r="T439" s="177"/>
      <c r="U439" s="177"/>
      <c r="V439" s="98"/>
      <c r="W439" s="173"/>
      <c r="X439" s="14"/>
      <c r="Y439" s="14"/>
    </row>
    <row r="440" spans="1:39" s="10" customFormat="1" hidden="1">
      <c r="I440" s="59" t="s">
        <v>422</v>
      </c>
      <c r="J440" s="59"/>
      <c r="K440" s="59"/>
      <c r="L440" s="266">
        <v>0</v>
      </c>
      <c r="M440" s="266">
        <v>0</v>
      </c>
      <c r="N440" s="266">
        <v>0</v>
      </c>
      <c r="O440" s="266">
        <v>1</v>
      </c>
      <c r="P440" s="266">
        <v>0</v>
      </c>
      <c r="Q440" s="266">
        <v>0</v>
      </c>
      <c r="R440" s="266"/>
      <c r="S440" s="177"/>
      <c r="T440" s="177"/>
      <c r="U440" s="177"/>
      <c r="V440" s="98"/>
      <c r="W440" s="173"/>
      <c r="X440" s="14"/>
      <c r="Y440" s="14"/>
    </row>
    <row r="441" spans="1:39" s="10" customFormat="1" hidden="1">
      <c r="I441" s="59" t="s">
        <v>423</v>
      </c>
      <c r="J441" s="59"/>
      <c r="K441" s="59"/>
      <c r="L441" s="266">
        <v>0</v>
      </c>
      <c r="M441" s="266">
        <v>0</v>
      </c>
      <c r="N441" s="266">
        <v>0</v>
      </c>
      <c r="O441" s="266">
        <v>1</v>
      </c>
      <c r="P441" s="266">
        <v>1</v>
      </c>
      <c r="Q441" s="266">
        <v>0</v>
      </c>
      <c r="R441" s="266"/>
      <c r="S441" s="177"/>
      <c r="T441" s="177"/>
      <c r="U441" s="177"/>
      <c r="V441" s="98"/>
      <c r="W441" s="173"/>
      <c r="X441" s="14"/>
      <c r="Y441" s="14"/>
    </row>
    <row r="442" spans="1:39" s="10" customFormat="1" hidden="1">
      <c r="I442" s="251"/>
      <c r="J442" s="177"/>
      <c r="K442" s="177"/>
      <c r="L442" s="98"/>
      <c r="M442" s="98"/>
      <c r="N442" s="98"/>
      <c r="O442" s="98"/>
      <c r="P442" s="98"/>
      <c r="R442" s="177"/>
      <c r="S442" s="177"/>
      <c r="T442" s="177"/>
      <c r="U442" s="177"/>
      <c r="V442" s="98"/>
      <c r="W442" s="173"/>
      <c r="X442" s="14"/>
      <c r="Y442" s="14"/>
    </row>
    <row r="443" spans="1:39" s="10" customFormat="1" hidden="1">
      <c r="J443" s="177"/>
      <c r="K443" s="177"/>
      <c r="L443" s="98"/>
      <c r="M443" s="98"/>
      <c r="N443" s="98"/>
      <c r="O443" s="98"/>
      <c r="P443" s="98"/>
      <c r="R443" s="177"/>
      <c r="S443" s="177"/>
      <c r="T443" s="177"/>
      <c r="U443" s="177"/>
      <c r="V443" s="98"/>
      <c r="W443" s="173"/>
      <c r="X443" s="14"/>
      <c r="Y443" s="14"/>
    </row>
    <row r="444" spans="1:39" s="10" customFormat="1" hidden="1">
      <c r="I444" s="381" t="s">
        <v>444</v>
      </c>
      <c r="J444" s="177"/>
      <c r="K444" s="177"/>
      <c r="L444" s="253">
        <v>2005</v>
      </c>
      <c r="M444" s="253">
        <v>2006</v>
      </c>
      <c r="N444" s="253">
        <v>2007</v>
      </c>
      <c r="O444" s="253">
        <v>2008</v>
      </c>
      <c r="P444" s="253">
        <v>2009</v>
      </c>
      <c r="Q444" s="253">
        <v>2010</v>
      </c>
      <c r="R444" s="177"/>
      <c r="S444" s="177"/>
      <c r="T444" s="177"/>
      <c r="U444" s="177"/>
      <c r="V444" s="98"/>
      <c r="W444" s="173"/>
      <c r="X444" s="14"/>
      <c r="Y444" s="14"/>
    </row>
    <row r="445" spans="1:39" s="10" customFormat="1" hidden="1">
      <c r="I445" s="59" t="s">
        <v>422</v>
      </c>
      <c r="J445" s="59"/>
      <c r="K445" s="59"/>
      <c r="L445" s="63">
        <v>0</v>
      </c>
      <c r="M445" s="63">
        <v>0</v>
      </c>
      <c r="N445" s="63">
        <v>3</v>
      </c>
      <c r="O445" s="63">
        <v>1</v>
      </c>
      <c r="P445" s="63"/>
      <c r="Q445" s="63"/>
      <c r="R445" s="177"/>
      <c r="S445" s="252"/>
      <c r="T445" s="177"/>
      <c r="U445" s="177"/>
      <c r="V445" s="98"/>
      <c r="W445" s="173"/>
      <c r="X445" s="14"/>
      <c r="Y445" s="14"/>
    </row>
    <row r="446" spans="1:39" s="10" customFormat="1" hidden="1">
      <c r="I446" s="59" t="s">
        <v>423</v>
      </c>
      <c r="J446" s="59"/>
      <c r="K446" s="59"/>
      <c r="L446" s="63">
        <v>0</v>
      </c>
      <c r="M446" s="63">
        <v>2</v>
      </c>
      <c r="N446" s="63">
        <v>2</v>
      </c>
      <c r="O446" s="63">
        <v>8</v>
      </c>
      <c r="P446" s="63"/>
      <c r="Q446" s="63">
        <v>1</v>
      </c>
      <c r="R446" s="177"/>
      <c r="S446" s="177"/>
      <c r="T446" s="177"/>
      <c r="U446" s="177"/>
      <c r="V446" s="98"/>
      <c r="W446" s="173"/>
      <c r="X446" s="14"/>
      <c r="Y446" s="14"/>
    </row>
    <row r="447" spans="1:39" s="10" customFormat="1" hidden="1">
      <c r="I447" s="3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98"/>
      <c r="W447" s="173"/>
      <c r="X447" s="14"/>
      <c r="Y447" s="14"/>
    </row>
    <row r="448" spans="1:39" s="10" customFormat="1" hidden="1">
      <c r="I448" s="136"/>
      <c r="J448" s="177"/>
      <c r="K448" s="177"/>
      <c r="L448" s="177"/>
      <c r="M448" s="177"/>
      <c r="N448" s="177"/>
      <c r="O448" s="177"/>
      <c r="P448" s="177"/>
      <c r="Q448" s="177"/>
      <c r="R448" s="98"/>
      <c r="S448" s="98"/>
      <c r="T448" s="98"/>
      <c r="U448" s="98"/>
      <c r="V448" s="173"/>
      <c r="W448" s="173"/>
      <c r="X448" s="14"/>
    </row>
    <row r="449" spans="9:27" ht="25.5" hidden="1">
      <c r="I449" s="380" t="s">
        <v>441</v>
      </c>
      <c r="J449" s="163"/>
      <c r="K449" s="163"/>
      <c r="L449" s="163"/>
      <c r="M449" s="163"/>
      <c r="N449" s="163"/>
      <c r="O449" s="163"/>
      <c r="P449" s="172"/>
    </row>
    <row r="450" spans="9:27" hidden="1">
      <c r="I450" s="59"/>
      <c r="J450" s="70" t="s">
        <v>2</v>
      </c>
      <c r="K450" s="70" t="s">
        <v>22</v>
      </c>
      <c r="L450" s="70" t="s">
        <v>25</v>
      </c>
      <c r="M450" s="70" t="s">
        <v>44</v>
      </c>
      <c r="N450" s="70" t="s">
        <v>55</v>
      </c>
      <c r="O450" s="70" t="s">
        <v>70</v>
      </c>
      <c r="P450" s="70" t="s">
        <v>72</v>
      </c>
      <c r="Q450" s="152">
        <v>2005</v>
      </c>
      <c r="R450" s="70" t="s">
        <v>83</v>
      </c>
      <c r="S450" s="152">
        <v>2007</v>
      </c>
      <c r="T450" s="152">
        <v>2008</v>
      </c>
      <c r="U450" s="152">
        <v>2009</v>
      </c>
      <c r="V450" s="152">
        <v>2010</v>
      </c>
      <c r="W450" s="152">
        <v>2011</v>
      </c>
      <c r="X450" s="152">
        <v>2012</v>
      </c>
      <c r="Y450" s="152">
        <v>2013</v>
      </c>
      <c r="Z450" s="152">
        <v>2014</v>
      </c>
      <c r="AA450" s="152">
        <v>2015</v>
      </c>
    </row>
    <row r="451" spans="9:27" hidden="1">
      <c r="I451" s="59" t="s">
        <v>81</v>
      </c>
      <c r="J451" s="72"/>
      <c r="K451" s="63"/>
      <c r="L451" s="65"/>
      <c r="M451" s="65"/>
      <c r="N451" s="65"/>
      <c r="O451" s="64"/>
      <c r="P451" s="65"/>
      <c r="Q451" s="65"/>
      <c r="R451" s="65"/>
      <c r="S451" s="65"/>
      <c r="T451" s="64"/>
      <c r="U451" s="72"/>
      <c r="V451" s="72">
        <v>8</v>
      </c>
      <c r="W451" s="72">
        <v>8</v>
      </c>
      <c r="X451" s="72">
        <v>9</v>
      </c>
      <c r="Y451" s="2"/>
      <c r="Z451" s="2"/>
      <c r="AA451" s="2"/>
    </row>
    <row r="452" spans="9:27" hidden="1">
      <c r="I452" s="59" t="s">
        <v>8</v>
      </c>
      <c r="J452" s="72"/>
      <c r="K452" s="63"/>
      <c r="L452" s="65"/>
      <c r="M452" s="65"/>
      <c r="N452" s="65"/>
      <c r="O452" s="64"/>
      <c r="P452" s="65"/>
      <c r="Q452" s="65"/>
      <c r="R452" s="65"/>
      <c r="S452" s="65"/>
      <c r="T452" s="65"/>
      <c r="U452" s="72"/>
      <c r="V452" s="72">
        <v>5</v>
      </c>
      <c r="W452" s="72">
        <v>7</v>
      </c>
      <c r="X452" s="72">
        <v>7</v>
      </c>
      <c r="Y452" s="2"/>
      <c r="Z452" s="2"/>
      <c r="AA452" s="2"/>
    </row>
    <row r="453" spans="9:27" hidden="1">
      <c r="I453" s="59" t="s">
        <v>10</v>
      </c>
      <c r="J453" s="72"/>
      <c r="K453" s="63"/>
      <c r="L453" s="65"/>
      <c r="M453" s="65"/>
      <c r="N453" s="65"/>
      <c r="O453" s="64"/>
      <c r="P453" s="65"/>
      <c r="Q453" s="65"/>
      <c r="R453" s="65"/>
      <c r="S453" s="65"/>
      <c r="T453" s="64"/>
      <c r="U453" s="72"/>
      <c r="V453" s="72">
        <v>11</v>
      </c>
      <c r="W453" s="72">
        <v>10</v>
      </c>
      <c r="X453" s="72">
        <v>12</v>
      </c>
      <c r="Y453" s="2"/>
      <c r="Z453" s="2"/>
      <c r="AA453" s="2"/>
    </row>
    <row r="454" spans="9:27" hidden="1">
      <c r="I454" s="59" t="s">
        <v>11</v>
      </c>
      <c r="J454" s="72"/>
      <c r="K454" s="63"/>
      <c r="L454" s="65"/>
      <c r="M454" s="65"/>
      <c r="N454" s="65"/>
      <c r="O454" s="64"/>
      <c r="P454" s="65"/>
      <c r="Q454" s="65"/>
      <c r="R454" s="65"/>
      <c r="S454" s="65"/>
      <c r="T454" s="64"/>
      <c r="U454" s="72"/>
      <c r="V454" s="72">
        <v>2</v>
      </c>
      <c r="W454" s="72">
        <v>3</v>
      </c>
      <c r="X454" s="72">
        <v>3</v>
      </c>
      <c r="Y454" s="2"/>
      <c r="Z454" s="2"/>
      <c r="AA454" s="2"/>
    </row>
    <row r="455" spans="9:27" hidden="1">
      <c r="I455" s="59" t="s">
        <v>21</v>
      </c>
      <c r="J455" s="72"/>
      <c r="K455" s="72"/>
      <c r="L455" s="72"/>
      <c r="M455" s="72"/>
      <c r="N455" s="72"/>
      <c r="O455" s="72"/>
      <c r="P455" s="72"/>
      <c r="Q455" s="72"/>
      <c r="R455" s="72"/>
      <c r="S455" s="72"/>
      <c r="T455" s="72"/>
      <c r="U455" s="72"/>
      <c r="V455" s="72">
        <f>SUM(V451:V454)</f>
        <v>26</v>
      </c>
      <c r="W455" s="72">
        <f>SUM(W451:W454)</f>
        <v>28</v>
      </c>
      <c r="X455" s="72">
        <f>SUM(X451:X454)</f>
        <v>31</v>
      </c>
      <c r="Y455" s="2"/>
      <c r="Z455" s="2"/>
      <c r="AA455" s="2"/>
    </row>
    <row r="456" spans="9:27" hidden="1">
      <c r="I456" s="245" t="s">
        <v>43</v>
      </c>
      <c r="J456" s="72"/>
      <c r="K456" s="72"/>
      <c r="L456" s="72"/>
      <c r="M456" s="72"/>
      <c r="N456" s="72"/>
      <c r="O456" s="72"/>
      <c r="P456" s="63"/>
      <c r="Q456" s="65"/>
      <c r="R456" s="65"/>
      <c r="S456" s="65"/>
      <c r="T456" s="65"/>
      <c r="U456" s="72"/>
      <c r="V456" s="72">
        <v>13</v>
      </c>
      <c r="W456" s="72">
        <v>15</v>
      </c>
      <c r="X456" s="72">
        <v>16</v>
      </c>
      <c r="AA456" s="2"/>
    </row>
    <row r="457" spans="9:27" hidden="1">
      <c r="I457" s="59"/>
      <c r="J457" s="72"/>
      <c r="K457" s="72"/>
      <c r="L457" s="72"/>
      <c r="M457" s="72"/>
      <c r="N457" s="72"/>
      <c r="O457" s="72"/>
      <c r="P457" s="72"/>
      <c r="Q457" s="65"/>
      <c r="R457" s="65"/>
      <c r="S457" s="65"/>
      <c r="T457" s="65"/>
      <c r="U457" s="72"/>
      <c r="V457" s="72"/>
      <c r="W457" s="72"/>
      <c r="AA457" s="2"/>
    </row>
    <row r="458" spans="9:27" s="10" customFormat="1" hidden="1">
      <c r="I458" s="13"/>
      <c r="J458" s="174"/>
      <c r="K458" s="174"/>
      <c r="L458" s="174"/>
      <c r="M458" s="174"/>
      <c r="N458" s="174"/>
      <c r="O458" s="174"/>
      <c r="P458" s="178"/>
      <c r="Q458" s="98"/>
      <c r="R458" s="98"/>
      <c r="S458" s="98"/>
      <c r="T458" s="98"/>
      <c r="U458" s="173"/>
      <c r="V458" s="173"/>
      <c r="W458" s="173"/>
    </row>
    <row r="459" spans="9:27" hidden="1">
      <c r="I459" s="1"/>
      <c r="J459" s="163"/>
      <c r="K459" s="163"/>
      <c r="L459" s="163"/>
      <c r="M459" s="163"/>
      <c r="N459" s="163"/>
      <c r="O459" s="163"/>
      <c r="P459" s="172"/>
    </row>
    <row r="460" spans="9:27" hidden="1">
      <c r="I460" s="381" t="s">
        <v>441</v>
      </c>
      <c r="J460" s="100"/>
      <c r="K460" s="100"/>
      <c r="L460" s="100"/>
      <c r="M460" s="100"/>
      <c r="N460" s="100"/>
      <c r="O460" s="100"/>
      <c r="P460" s="100"/>
      <c r="Q460" s="100"/>
      <c r="R460" s="100"/>
      <c r="S460" s="134"/>
      <c r="T460" s="134"/>
      <c r="U460" s="134"/>
      <c r="V460" s="134"/>
      <c r="W460" s="134"/>
      <c r="X460" s="173"/>
    </row>
    <row r="461" spans="9:27" hidden="1">
      <c r="I461" s="71"/>
      <c r="J461" s="100"/>
      <c r="K461" s="100"/>
      <c r="L461" s="100"/>
      <c r="M461" s="100"/>
      <c r="N461" s="100"/>
      <c r="O461" s="100"/>
      <c r="P461" s="100"/>
      <c r="Q461" s="100"/>
      <c r="R461" s="100"/>
      <c r="S461" s="134"/>
      <c r="T461" s="134"/>
      <c r="U461" s="134"/>
      <c r="V461" s="134"/>
      <c r="W461" s="152">
        <v>2011</v>
      </c>
      <c r="X461" s="152">
        <v>2012</v>
      </c>
      <c r="Y461" s="152">
        <v>2013</v>
      </c>
      <c r="Z461" s="152">
        <v>2014</v>
      </c>
      <c r="AA461" s="152">
        <v>2015</v>
      </c>
    </row>
    <row r="462" spans="9:27" hidden="1">
      <c r="I462" s="245" t="s">
        <v>474</v>
      </c>
      <c r="J462" s="100"/>
      <c r="K462" s="100"/>
      <c r="L462" s="100"/>
      <c r="M462" s="100"/>
      <c r="N462" s="100"/>
      <c r="O462" s="100"/>
      <c r="P462" s="100"/>
      <c r="Q462" s="100"/>
      <c r="R462" s="100"/>
      <c r="S462" s="134"/>
      <c r="T462" s="134"/>
      <c r="U462" s="134"/>
      <c r="V462" s="134"/>
      <c r="W462" s="72">
        <v>15</v>
      </c>
      <c r="X462" s="173"/>
    </row>
    <row r="463" spans="9:27" hidden="1">
      <c r="I463" s="245" t="s">
        <v>475</v>
      </c>
      <c r="J463" s="100"/>
      <c r="K463" s="100"/>
      <c r="L463" s="100"/>
      <c r="M463" s="100"/>
      <c r="N463" s="100"/>
      <c r="O463" s="100"/>
      <c r="P463" s="100"/>
      <c r="Q463" s="100"/>
      <c r="R463" s="100"/>
      <c r="S463" s="134"/>
      <c r="T463" s="134"/>
      <c r="U463" s="134"/>
      <c r="V463" s="134"/>
      <c r="W463" s="72">
        <v>13</v>
      </c>
      <c r="X463" s="173"/>
    </row>
    <row r="464" spans="9:27" hidden="1">
      <c r="I464" s="59" t="s">
        <v>21</v>
      </c>
      <c r="J464" s="100"/>
      <c r="K464" s="100"/>
      <c r="L464" s="100"/>
      <c r="M464" s="100"/>
      <c r="N464" s="100"/>
      <c r="O464" s="100"/>
      <c r="P464" s="100"/>
      <c r="Q464" s="100"/>
      <c r="R464" s="100"/>
      <c r="S464" s="134"/>
      <c r="T464" s="134"/>
      <c r="U464" s="134"/>
      <c r="V464" s="134"/>
      <c r="W464" s="65">
        <f>SUM(W462:W463)</f>
        <v>28</v>
      </c>
      <c r="X464" s="173"/>
    </row>
    <row r="465" spans="9:27" hidden="1">
      <c r="I465" s="59" t="s">
        <v>341</v>
      </c>
      <c r="J465" s="100"/>
      <c r="K465" s="100"/>
      <c r="L465" s="100"/>
      <c r="M465" s="100"/>
      <c r="N465" s="100"/>
      <c r="O465" s="100"/>
      <c r="P465" s="100"/>
      <c r="Q465" s="100"/>
      <c r="R465" s="100"/>
      <c r="S465" s="134"/>
      <c r="T465" s="134"/>
      <c r="U465" s="134"/>
      <c r="V465" s="134"/>
      <c r="W465" s="134">
        <f>W463/W462</f>
        <v>0.8666666666666667</v>
      </c>
      <c r="X465" s="173"/>
    </row>
    <row r="466" spans="9:27" hidden="1">
      <c r="I466" s="59"/>
      <c r="J466" s="100"/>
      <c r="K466" s="100"/>
      <c r="L466" s="100"/>
      <c r="M466" s="100"/>
      <c r="N466" s="100"/>
      <c r="O466" s="100"/>
      <c r="P466" s="100"/>
      <c r="Q466" s="100"/>
      <c r="R466" s="100"/>
      <c r="S466" s="134"/>
      <c r="T466" s="134"/>
      <c r="U466" s="134"/>
      <c r="V466" s="134"/>
      <c r="W466" s="173"/>
      <c r="X466" s="173"/>
    </row>
    <row r="467" spans="9:27" hidden="1">
      <c r="S467" s="98"/>
      <c r="T467" s="98"/>
      <c r="U467" s="98"/>
      <c r="W467" s="173"/>
      <c r="X467" s="98"/>
      <c r="Y467" s="2"/>
    </row>
    <row r="468" spans="9:27" hidden="1"/>
    <row r="469" spans="9:27" hidden="1">
      <c r="I469" s="381" t="s">
        <v>442</v>
      </c>
      <c r="J469" s="64"/>
      <c r="K469" s="64"/>
      <c r="L469" s="64"/>
      <c r="M469" s="64"/>
      <c r="N469" s="64"/>
      <c r="O469" s="64"/>
      <c r="P469" s="65"/>
      <c r="Q469" s="65"/>
      <c r="R469" s="65"/>
      <c r="S469" s="65"/>
      <c r="T469" s="65"/>
      <c r="U469" s="65"/>
      <c r="V469" s="65"/>
      <c r="W469" s="65"/>
      <c r="X469" s="98"/>
      <c r="Y469" s="2"/>
    </row>
    <row r="470" spans="9:27" hidden="1">
      <c r="I470" s="59"/>
      <c r="J470" s="152" t="s">
        <v>2</v>
      </c>
      <c r="K470" s="152" t="s">
        <v>22</v>
      </c>
      <c r="L470" s="152" t="s">
        <v>25</v>
      </c>
      <c r="M470" s="152" t="s">
        <v>44</v>
      </c>
      <c r="N470" s="152" t="s">
        <v>55</v>
      </c>
      <c r="O470" s="152" t="s">
        <v>70</v>
      </c>
      <c r="P470" s="152" t="s">
        <v>72</v>
      </c>
      <c r="Q470" s="152">
        <v>2005</v>
      </c>
      <c r="R470" s="152">
        <v>2006</v>
      </c>
      <c r="S470" s="152">
        <v>2007</v>
      </c>
      <c r="T470" s="152">
        <v>2008</v>
      </c>
      <c r="U470" s="152">
        <v>2009</v>
      </c>
      <c r="V470" s="152">
        <v>2010</v>
      </c>
      <c r="W470" s="152">
        <v>2011</v>
      </c>
      <c r="X470" s="152">
        <v>2012</v>
      </c>
      <c r="Y470" s="152">
        <v>2013</v>
      </c>
      <c r="Z470" s="152">
        <v>2014</v>
      </c>
      <c r="AA470" s="152">
        <v>2015</v>
      </c>
    </row>
    <row r="471" spans="9:27" hidden="1">
      <c r="I471" s="60" t="s">
        <v>219</v>
      </c>
      <c r="J471" s="72"/>
      <c r="K471" s="72"/>
      <c r="L471" s="72"/>
      <c r="M471" s="64"/>
      <c r="N471" s="64"/>
      <c r="O471" s="64"/>
      <c r="P471" s="64"/>
      <c r="Q471" s="65"/>
      <c r="R471" s="65"/>
      <c r="S471" s="65"/>
      <c r="T471" s="65"/>
      <c r="U471" s="72"/>
      <c r="V471" s="72">
        <v>3</v>
      </c>
      <c r="W471" s="72">
        <v>3</v>
      </c>
      <c r="X471" s="72">
        <v>3</v>
      </c>
    </row>
    <row r="472" spans="9:27" hidden="1">
      <c r="I472" s="259" t="s">
        <v>459</v>
      </c>
      <c r="J472" s="72"/>
      <c r="K472" s="72"/>
      <c r="L472" s="72"/>
      <c r="M472" s="72"/>
      <c r="N472" s="72"/>
      <c r="O472" s="72"/>
      <c r="P472" s="72"/>
      <c r="Q472" s="65"/>
      <c r="R472" s="65"/>
      <c r="S472" s="65"/>
      <c r="T472" s="72"/>
      <c r="U472" s="72"/>
      <c r="V472" s="72">
        <f>V455</f>
        <v>26</v>
      </c>
      <c r="W472" s="72">
        <f>W455</f>
        <v>28</v>
      </c>
      <c r="X472" s="72">
        <f>X455</f>
        <v>31</v>
      </c>
    </row>
    <row r="473" spans="9:27" hidden="1">
      <c r="I473" s="60" t="s">
        <v>21</v>
      </c>
      <c r="J473" s="72"/>
      <c r="K473" s="72"/>
      <c r="L473" s="72"/>
      <c r="M473" s="72"/>
      <c r="N473" s="72"/>
      <c r="O473" s="72"/>
      <c r="P473" s="72"/>
      <c r="Q473" s="72"/>
      <c r="R473" s="72"/>
      <c r="S473" s="72"/>
      <c r="T473" s="72"/>
      <c r="U473" s="72"/>
      <c r="V473" s="72">
        <f>V471+V472</f>
        <v>29</v>
      </c>
      <c r="W473" s="72">
        <f>W471+W472</f>
        <v>31</v>
      </c>
      <c r="X473" s="72">
        <f>X471+X472</f>
        <v>34</v>
      </c>
    </row>
    <row r="474" spans="9:27" hidden="1">
      <c r="I474" s="1"/>
      <c r="J474" s="163"/>
      <c r="K474" s="163"/>
      <c r="L474" s="174"/>
      <c r="M474" s="163"/>
      <c r="N474" s="163"/>
      <c r="R474" s="192"/>
      <c r="S474" s="192"/>
      <c r="T474" s="98"/>
      <c r="U474" s="98"/>
      <c r="V474" s="98"/>
      <c r="W474" s="98"/>
    </row>
    <row r="475" spans="9:27" hidden="1">
      <c r="R475" s="192">
        <f>R73/R8</f>
        <v>0.22727272727272727</v>
      </c>
      <c r="S475" s="192">
        <f>S73/S8</f>
        <v>0.22012578616352202</v>
      </c>
      <c r="T475" s="98"/>
      <c r="U475" s="98"/>
      <c r="V475" s="98"/>
      <c r="W475" s="98"/>
    </row>
    <row r="476" spans="9:27" hidden="1">
      <c r="I476" s="381" t="s">
        <v>477</v>
      </c>
      <c r="J476" s="65"/>
      <c r="K476" s="65"/>
      <c r="L476" s="65"/>
      <c r="M476" s="64"/>
      <c r="N476" s="64"/>
      <c r="O476" s="64"/>
      <c r="P476" s="66"/>
      <c r="Q476" s="65"/>
      <c r="R476" s="65"/>
      <c r="S476" s="65"/>
      <c r="T476" s="65"/>
      <c r="U476" s="64"/>
      <c r="V476" s="152"/>
      <c r="W476" s="152"/>
    </row>
    <row r="477" spans="9:27" hidden="1">
      <c r="I477" s="59"/>
      <c r="J477" s="70" t="s">
        <v>2</v>
      </c>
      <c r="K477" s="70" t="s">
        <v>22</v>
      </c>
      <c r="L477" s="70" t="s">
        <v>25</v>
      </c>
      <c r="M477" s="70" t="s">
        <v>44</v>
      </c>
      <c r="N477" s="70" t="s">
        <v>55</v>
      </c>
      <c r="O477" s="70" t="s">
        <v>70</v>
      </c>
      <c r="P477" s="70" t="s">
        <v>72</v>
      </c>
      <c r="Q477" s="152">
        <v>2005</v>
      </c>
      <c r="R477" s="152">
        <v>2006</v>
      </c>
      <c r="S477" s="152">
        <v>2007</v>
      </c>
      <c r="T477" s="152">
        <v>2008</v>
      </c>
      <c r="U477" s="148">
        <v>2009</v>
      </c>
      <c r="V477" s="152">
        <v>2010</v>
      </c>
      <c r="W477" s="152">
        <v>2011</v>
      </c>
      <c r="X477" s="152">
        <v>2012</v>
      </c>
      <c r="Y477" s="152">
        <v>2013</v>
      </c>
      <c r="Z477" s="152">
        <v>2014</v>
      </c>
      <c r="AA477" s="152">
        <v>2015</v>
      </c>
    </row>
    <row r="478" spans="9:27" hidden="1">
      <c r="I478" s="245" t="s">
        <v>461</v>
      </c>
      <c r="J478" s="72"/>
      <c r="K478" s="72"/>
      <c r="L478" s="72"/>
      <c r="M478" s="72"/>
      <c r="N478" s="72"/>
      <c r="O478" s="64"/>
      <c r="P478" s="64"/>
      <c r="Q478" s="64"/>
      <c r="R478" s="64"/>
      <c r="S478" s="64"/>
      <c r="T478" s="64"/>
      <c r="U478" s="64"/>
      <c r="V478" s="260">
        <v>13</v>
      </c>
      <c r="W478" s="260">
        <v>21</v>
      </c>
      <c r="X478" s="260">
        <v>51</v>
      </c>
      <c r="Y478" s="2"/>
    </row>
    <row r="479" spans="9:27" hidden="1">
      <c r="I479" s="245" t="s">
        <v>462</v>
      </c>
      <c r="J479" s="72"/>
      <c r="K479" s="72"/>
      <c r="L479" s="72"/>
      <c r="M479" s="72"/>
      <c r="N479" s="72"/>
      <c r="O479" s="64"/>
      <c r="P479" s="64"/>
      <c r="Q479" s="64"/>
      <c r="R479" s="64"/>
      <c r="S479" s="64"/>
      <c r="T479" s="65"/>
      <c r="U479" s="64"/>
      <c r="V479" s="260">
        <v>9</v>
      </c>
      <c r="W479" s="260">
        <v>12</v>
      </c>
      <c r="X479" s="260">
        <v>17</v>
      </c>
      <c r="Y479" s="2"/>
    </row>
    <row r="480" spans="9:27" hidden="1">
      <c r="I480" s="59" t="s">
        <v>76</v>
      </c>
      <c r="J480" s="99"/>
      <c r="K480" s="99"/>
      <c r="L480" s="99"/>
      <c r="M480" s="99"/>
      <c r="N480" s="99"/>
      <c r="O480" s="99"/>
      <c r="P480" s="99"/>
      <c r="Q480" s="99"/>
      <c r="R480" s="99"/>
      <c r="S480" s="99"/>
      <c r="T480" s="99"/>
      <c r="U480" s="99"/>
      <c r="V480" s="268">
        <f>(V478+V479)/V456</f>
        <v>1.6923076923076923</v>
      </c>
      <c r="W480" s="268">
        <f>(W478+W479)/W456</f>
        <v>2.2000000000000002</v>
      </c>
      <c r="X480" s="268">
        <f>(X478+X479)/X456</f>
        <v>4.25</v>
      </c>
      <c r="Y480" s="2"/>
    </row>
    <row r="481" spans="9:30" hidden="1">
      <c r="I481" s="59" t="s">
        <v>77</v>
      </c>
      <c r="J481" s="99"/>
      <c r="K481" s="99"/>
      <c r="L481" s="99"/>
      <c r="M481" s="99"/>
      <c r="N481" s="99"/>
      <c r="O481" s="99"/>
      <c r="P481" s="99"/>
      <c r="Q481" s="99"/>
      <c r="R481" s="99"/>
      <c r="S481" s="99"/>
      <c r="T481" s="99"/>
      <c r="U481" s="99"/>
      <c r="V481" s="268">
        <f>V478/V456</f>
        <v>1</v>
      </c>
      <c r="W481" s="268">
        <f>W478/W456</f>
        <v>1.4</v>
      </c>
      <c r="X481" s="268">
        <f>X478/X456</f>
        <v>3.1875</v>
      </c>
      <c r="Y481" s="2"/>
    </row>
    <row r="482" spans="9:30" hidden="1">
      <c r="R482" s="192">
        <f>R7/R8</f>
        <v>0.17532467532467533</v>
      </c>
      <c r="S482" s="192">
        <f>S7/S8</f>
        <v>0.16981132075471697</v>
      </c>
      <c r="T482" s="98"/>
      <c r="U482" s="98"/>
      <c r="V482" s="98"/>
      <c r="W482" s="98"/>
    </row>
    <row r="483" spans="9:30" hidden="1">
      <c r="O483" s="171" t="s">
        <v>198</v>
      </c>
      <c r="S483" s="163"/>
      <c r="T483" s="163"/>
      <c r="U483" s="163"/>
      <c r="V483" s="163"/>
      <c r="W483" s="163"/>
      <c r="X483" s="4"/>
      <c r="Z483" s="4"/>
      <c r="AA483" s="4"/>
      <c r="AB483" s="4"/>
      <c r="AC483" s="4"/>
      <c r="AD483" s="4"/>
    </row>
    <row r="484" spans="9:30" hidden="1">
      <c r="I484" s="381" t="s">
        <v>478</v>
      </c>
      <c r="J484" s="64"/>
      <c r="K484" s="64"/>
      <c r="L484" s="64"/>
      <c r="M484" s="64"/>
      <c r="N484" s="64"/>
      <c r="O484" s="64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Z484" s="65"/>
      <c r="AA484" s="65"/>
    </row>
    <row r="485" spans="9:30" hidden="1">
      <c r="I485" s="62"/>
      <c r="J485" s="152"/>
      <c r="K485" s="152"/>
      <c r="L485" s="152"/>
      <c r="M485" s="152"/>
      <c r="N485" s="152"/>
      <c r="O485" s="152"/>
      <c r="P485" s="152"/>
      <c r="Q485" s="152"/>
      <c r="R485" s="152"/>
      <c r="S485" s="152"/>
      <c r="T485" s="152"/>
      <c r="U485" s="152"/>
      <c r="V485" s="152"/>
      <c r="W485" s="152">
        <v>2011</v>
      </c>
      <c r="X485" s="152">
        <v>2012</v>
      </c>
      <c r="Y485" s="152">
        <v>2013</v>
      </c>
      <c r="Z485" s="152">
        <v>2014</v>
      </c>
      <c r="AA485" s="152">
        <v>2015</v>
      </c>
    </row>
    <row r="486" spans="9:30" hidden="1">
      <c r="I486" s="62" t="s">
        <v>6</v>
      </c>
      <c r="J486" s="64"/>
      <c r="K486" s="64"/>
      <c r="L486" s="64"/>
      <c r="M486" s="64"/>
      <c r="N486" s="64"/>
      <c r="O486" s="64"/>
      <c r="P486" s="64"/>
      <c r="Q486" s="65"/>
      <c r="R486" s="65"/>
      <c r="S486" s="135"/>
      <c r="T486" s="135"/>
      <c r="U486" s="135"/>
      <c r="V486" s="135"/>
      <c r="W486" s="135">
        <v>16</v>
      </c>
      <c r="X486" s="135">
        <v>17</v>
      </c>
    </row>
    <row r="487" spans="9:30" hidden="1">
      <c r="I487" s="62" t="s">
        <v>5</v>
      </c>
      <c r="J487" s="64"/>
      <c r="K487" s="64"/>
      <c r="L487" s="64"/>
      <c r="M487" s="64"/>
      <c r="N487" s="64"/>
      <c r="O487" s="64"/>
      <c r="P487" s="64"/>
      <c r="Q487" s="65"/>
      <c r="R487" s="65"/>
      <c r="S487" s="63"/>
      <c r="T487" s="65"/>
      <c r="U487" s="64"/>
      <c r="V487" s="64"/>
      <c r="W487" s="64">
        <v>5</v>
      </c>
      <c r="X487" s="64">
        <v>6</v>
      </c>
    </row>
    <row r="488" spans="9:30" hidden="1">
      <c r="I488" s="62" t="s">
        <v>13</v>
      </c>
      <c r="J488" s="64"/>
      <c r="K488" s="64"/>
      <c r="L488" s="64"/>
      <c r="M488" s="64"/>
      <c r="N488" s="64"/>
      <c r="O488" s="64"/>
      <c r="P488" s="64"/>
      <c r="Q488" s="65"/>
      <c r="R488" s="65"/>
      <c r="S488" s="63"/>
      <c r="T488" s="65"/>
      <c r="U488" s="64"/>
      <c r="V488" s="64"/>
      <c r="W488" s="64">
        <v>7</v>
      </c>
      <c r="X488" s="64">
        <v>7</v>
      </c>
    </row>
    <row r="489" spans="9:30" hidden="1">
      <c r="I489" s="62" t="s">
        <v>220</v>
      </c>
      <c r="J489" s="64"/>
      <c r="K489" s="64"/>
      <c r="L489" s="64"/>
      <c r="M489" s="64"/>
      <c r="N489" s="64"/>
      <c r="O489" s="64"/>
      <c r="P489" s="64"/>
      <c r="Q489" s="64"/>
      <c r="R489" s="64"/>
      <c r="S489" s="135"/>
      <c r="T489" s="135"/>
      <c r="U489" s="135"/>
      <c r="V489" s="135"/>
      <c r="W489" s="135">
        <f>SUM(W486:W488)</f>
        <v>28</v>
      </c>
      <c r="X489" s="135">
        <f>SUM(X486:X488)</f>
        <v>30</v>
      </c>
      <c r="Y489" s="8"/>
      <c r="Z489" s="8"/>
      <c r="AA489" s="8"/>
      <c r="AB489" s="8"/>
      <c r="AC489" s="8"/>
      <c r="AD489" s="8"/>
    </row>
    <row r="490" spans="9:30" hidden="1">
      <c r="Q490" s="158" t="s">
        <v>57</v>
      </c>
      <c r="S490" s="172"/>
      <c r="T490" s="171"/>
      <c r="U490" s="158"/>
      <c r="V490" s="158"/>
      <c r="W490" s="158"/>
      <c r="Z490" s="12"/>
      <c r="AA490" s="12"/>
      <c r="AB490" s="12"/>
      <c r="AC490" s="12"/>
      <c r="AD490" s="12"/>
    </row>
    <row r="491" spans="9:30" hidden="1">
      <c r="I491" s="62"/>
      <c r="J491" s="65"/>
      <c r="K491" s="65"/>
      <c r="L491" s="65"/>
      <c r="M491" s="65"/>
      <c r="N491" s="65"/>
      <c r="O491" s="64"/>
      <c r="P491" s="66"/>
      <c r="Q491" s="96"/>
      <c r="R491" s="96"/>
      <c r="S491" s="96"/>
      <c r="T491" s="96"/>
      <c r="U491" s="65"/>
      <c r="V491" s="261"/>
      <c r="W491" s="261"/>
      <c r="X491" s="14"/>
      <c r="Y491" s="2"/>
      <c r="Z491" s="2"/>
    </row>
    <row r="492" spans="9:30" hidden="1">
      <c r="I492" s="381" t="s">
        <v>476</v>
      </c>
      <c r="J492" s="65"/>
      <c r="K492" s="65"/>
      <c r="L492" s="65"/>
      <c r="M492" s="65"/>
      <c r="N492" s="65"/>
      <c r="O492" s="64"/>
      <c r="P492" s="66"/>
      <c r="Q492" s="96"/>
      <c r="R492" s="96"/>
      <c r="S492" s="96"/>
      <c r="T492" s="96"/>
      <c r="U492" s="65"/>
      <c r="X492" s="14"/>
      <c r="Y492" s="2"/>
      <c r="Z492" s="2"/>
    </row>
    <row r="493" spans="9:30" hidden="1">
      <c r="I493" s="71"/>
      <c r="J493" s="65"/>
      <c r="K493" s="65"/>
      <c r="L493" s="65"/>
      <c r="M493" s="65"/>
      <c r="N493" s="65"/>
      <c r="O493" s="64"/>
      <c r="P493" s="66"/>
      <c r="Q493" s="96"/>
      <c r="R493" s="96"/>
      <c r="S493" s="96"/>
      <c r="T493" s="96"/>
      <c r="U493" s="65"/>
      <c r="V493" s="262">
        <v>2010</v>
      </c>
      <c r="W493" s="262">
        <v>2011</v>
      </c>
      <c r="X493" s="152">
        <v>2012</v>
      </c>
      <c r="Y493" s="152">
        <v>2013</v>
      </c>
      <c r="Z493" s="152">
        <v>2014</v>
      </c>
      <c r="AA493" s="152">
        <v>2015</v>
      </c>
    </row>
    <row r="494" spans="9:30" hidden="1">
      <c r="I494" s="62" t="s">
        <v>58</v>
      </c>
      <c r="J494" s="65"/>
      <c r="K494" s="65"/>
      <c r="L494" s="65"/>
      <c r="M494" s="65"/>
      <c r="N494" s="65"/>
      <c r="O494" s="64"/>
      <c r="P494" s="66"/>
      <c r="Q494" s="96"/>
      <c r="R494" s="96"/>
      <c r="S494" s="96"/>
      <c r="T494" s="96"/>
      <c r="U494" s="65"/>
      <c r="V494" s="261"/>
      <c r="W494" s="261">
        <v>0</v>
      </c>
      <c r="X494" s="261">
        <v>0</v>
      </c>
      <c r="Y494" s="2"/>
      <c r="Z494" s="2"/>
    </row>
    <row r="495" spans="9:30" hidden="1">
      <c r="I495" s="62" t="s">
        <v>57</v>
      </c>
      <c r="J495" s="65"/>
      <c r="K495" s="65"/>
      <c r="L495" s="65"/>
      <c r="M495" s="65"/>
      <c r="N495" s="65"/>
      <c r="O495" s="64"/>
      <c r="P495" s="66"/>
      <c r="Q495" s="96"/>
      <c r="R495" s="96"/>
      <c r="S495" s="96"/>
      <c r="T495" s="96"/>
      <c r="U495" s="65"/>
      <c r="V495" s="261"/>
      <c r="W495" s="261">
        <v>1</v>
      </c>
      <c r="X495" s="261">
        <v>0</v>
      </c>
      <c r="Y495" s="2"/>
      <c r="Z495" s="2"/>
    </row>
    <row r="496" spans="9:30" hidden="1">
      <c r="I496" s="62" t="s">
        <v>56</v>
      </c>
      <c r="J496" s="65"/>
      <c r="K496" s="65"/>
      <c r="L496" s="65"/>
      <c r="M496" s="65"/>
      <c r="N496" s="65"/>
      <c r="O496" s="64"/>
      <c r="P496" s="66"/>
      <c r="Q496" s="96"/>
      <c r="R496" s="96"/>
      <c r="S496" s="96"/>
      <c r="T496" s="96"/>
      <c r="U496" s="65"/>
      <c r="V496" s="261"/>
      <c r="W496" s="261">
        <v>10</v>
      </c>
      <c r="X496" s="261">
        <v>12</v>
      </c>
      <c r="Y496" s="2"/>
      <c r="Z496" s="2"/>
    </row>
    <row r="497" spans="9:32" hidden="1">
      <c r="I497" s="62" t="s">
        <v>46</v>
      </c>
      <c r="J497" s="65"/>
      <c r="K497" s="65"/>
      <c r="L497" s="65"/>
      <c r="M497" s="65"/>
      <c r="N497" s="65"/>
      <c r="O497" s="64"/>
      <c r="P497" s="66"/>
      <c r="Q497" s="96"/>
      <c r="R497" s="96"/>
      <c r="S497" s="96"/>
      <c r="T497" s="96"/>
      <c r="U497" s="65"/>
      <c r="V497" s="261"/>
      <c r="W497" s="261">
        <v>3</v>
      </c>
      <c r="X497" s="261">
        <v>3</v>
      </c>
      <c r="Y497" s="2"/>
      <c r="Z497" s="2"/>
    </row>
    <row r="498" spans="9:32" hidden="1">
      <c r="I498" s="62" t="s">
        <v>45</v>
      </c>
      <c r="J498" s="65"/>
      <c r="K498" s="65"/>
      <c r="L498" s="65"/>
      <c r="M498" s="65"/>
      <c r="N498" s="65"/>
      <c r="O498" s="64"/>
      <c r="P498" s="66"/>
      <c r="Q498" s="96"/>
      <c r="R498" s="96"/>
      <c r="S498" s="96"/>
      <c r="T498" s="96"/>
      <c r="U498" s="65"/>
      <c r="V498" s="261"/>
      <c r="W498" s="261">
        <f>SUM(W494:W497)</f>
        <v>14</v>
      </c>
      <c r="X498" s="261">
        <f>SUM(X494:X497)</f>
        <v>15</v>
      </c>
      <c r="Y498" s="2"/>
      <c r="Z498" s="2"/>
    </row>
    <row r="499" spans="9:32" s="10" customFormat="1" hidden="1">
      <c r="I499" s="241"/>
      <c r="J499" s="173"/>
      <c r="K499" s="173"/>
      <c r="L499" s="173"/>
      <c r="M499" s="256"/>
      <c r="N499" s="256"/>
      <c r="O499" s="256"/>
      <c r="P499" s="256"/>
      <c r="Q499" s="256"/>
      <c r="R499" s="256"/>
      <c r="S499" s="256"/>
      <c r="T499" s="256"/>
      <c r="U499" s="256"/>
      <c r="V499" s="256"/>
      <c r="W499" s="256"/>
      <c r="X499" s="14"/>
    </row>
    <row r="500" spans="9:32" s="10" customFormat="1" hidden="1">
      <c r="I500" s="241"/>
      <c r="J500" s="173"/>
      <c r="K500" s="173"/>
      <c r="L500" s="173"/>
      <c r="M500" s="256"/>
      <c r="N500" s="256"/>
      <c r="O500" s="256"/>
      <c r="P500" s="256"/>
      <c r="Q500" s="256"/>
      <c r="R500" s="256"/>
      <c r="S500" s="256"/>
      <c r="T500" s="256"/>
      <c r="U500" s="256"/>
      <c r="V500" s="256"/>
      <c r="W500" s="173"/>
      <c r="X500" s="14"/>
    </row>
    <row r="501" spans="9:32" ht="15" hidden="1" customHeight="1">
      <c r="I501" s="382" t="s">
        <v>446</v>
      </c>
      <c r="J501" s="67" t="s">
        <v>2</v>
      </c>
      <c r="K501" s="67" t="s">
        <v>22</v>
      </c>
      <c r="L501" s="67" t="s">
        <v>25</v>
      </c>
      <c r="M501" s="67" t="s">
        <v>44</v>
      </c>
      <c r="N501" s="67" t="s">
        <v>55</v>
      </c>
      <c r="O501" s="67" t="s">
        <v>70</v>
      </c>
      <c r="P501" s="67" t="s">
        <v>72</v>
      </c>
      <c r="Q501" s="68">
        <v>2005</v>
      </c>
      <c r="R501" s="68">
        <v>2006</v>
      </c>
      <c r="S501" s="68">
        <v>2007</v>
      </c>
      <c r="T501" s="68">
        <v>2008</v>
      </c>
      <c r="U501" s="68">
        <v>2009</v>
      </c>
      <c r="V501" s="68">
        <v>2010</v>
      </c>
      <c r="W501" s="265">
        <v>2011</v>
      </c>
      <c r="X501" s="152">
        <v>2012</v>
      </c>
      <c r="Y501" s="152">
        <v>2013</v>
      </c>
      <c r="Z501" s="152">
        <v>2014</v>
      </c>
      <c r="AA501" s="152">
        <v>2015</v>
      </c>
      <c r="AC501" s="138"/>
      <c r="AD501" s="139"/>
      <c r="AE501" s="139"/>
      <c r="AF501" s="139"/>
    </row>
    <row r="502" spans="9:32" s="10" customFormat="1" hidden="1">
      <c r="I502" s="69" t="s">
        <v>61</v>
      </c>
      <c r="J502" s="153"/>
      <c r="K502" s="153"/>
      <c r="L502" s="153"/>
      <c r="M502" s="153"/>
      <c r="N502" s="153"/>
      <c r="O502" s="154"/>
      <c r="P502" s="154"/>
      <c r="Q502" s="155"/>
      <c r="R502" s="154"/>
      <c r="S502" s="65"/>
      <c r="T502" s="65"/>
      <c r="U502" s="65"/>
      <c r="V502" s="65"/>
      <c r="W502" s="65"/>
      <c r="X502" s="14"/>
    </row>
    <row r="503" spans="9:32" s="10" customFormat="1" hidden="1">
      <c r="I503" s="69" t="s">
        <v>366</v>
      </c>
      <c r="J503" s="153"/>
      <c r="K503" s="153"/>
      <c r="L503" s="153"/>
      <c r="M503" s="153"/>
      <c r="N503" s="153"/>
      <c r="O503" s="154"/>
      <c r="P503" s="154"/>
      <c r="Q503" s="155"/>
      <c r="R503" s="154"/>
      <c r="S503" s="65"/>
      <c r="T503" s="65"/>
      <c r="U503" s="65"/>
      <c r="V503" s="65">
        <v>2</v>
      </c>
      <c r="W503" s="65">
        <v>3</v>
      </c>
      <c r="X503" s="14"/>
    </row>
    <row r="504" spans="9:32" s="10" customFormat="1" hidden="1">
      <c r="I504" s="69" t="s">
        <v>199</v>
      </c>
      <c r="J504" s="153"/>
      <c r="K504" s="153"/>
      <c r="L504" s="153"/>
      <c r="M504" s="153"/>
      <c r="N504" s="153"/>
      <c r="O504" s="154"/>
      <c r="P504" s="154"/>
      <c r="Q504" s="155"/>
      <c r="R504" s="154"/>
      <c r="S504" s="65"/>
      <c r="T504" s="65"/>
      <c r="U504" s="65"/>
      <c r="V504" s="65">
        <v>7</v>
      </c>
      <c r="W504" s="65">
        <v>9</v>
      </c>
      <c r="X504" s="14"/>
    </row>
    <row r="505" spans="9:32" s="10" customFormat="1" hidden="1">
      <c r="I505" s="255" t="s">
        <v>440</v>
      </c>
      <c r="J505" s="153"/>
      <c r="K505" s="153"/>
      <c r="L505" s="153"/>
      <c r="M505" s="153"/>
      <c r="N505" s="153"/>
      <c r="O505" s="154"/>
      <c r="P505" s="154"/>
      <c r="Q505" s="155"/>
      <c r="R505" s="154"/>
      <c r="S505" s="65"/>
      <c r="T505" s="65"/>
      <c r="U505" s="65"/>
      <c r="V505" s="65">
        <v>15</v>
      </c>
      <c r="W505" s="65">
        <v>20</v>
      </c>
      <c r="X505" s="14"/>
    </row>
    <row r="506" spans="9:32" s="10" customFormat="1" hidden="1">
      <c r="I506" s="69" t="s">
        <v>419</v>
      </c>
      <c r="J506" s="153"/>
      <c r="K506" s="153"/>
      <c r="L506" s="153"/>
      <c r="M506" s="153"/>
      <c r="N506" s="153"/>
      <c r="O506" s="154"/>
      <c r="P506" s="154"/>
      <c r="Q506" s="155"/>
      <c r="R506" s="154"/>
      <c r="S506" s="65"/>
      <c r="T506" s="65"/>
      <c r="U506" s="65"/>
      <c r="V506" s="65">
        <v>0</v>
      </c>
      <c r="W506" s="65">
        <v>0</v>
      </c>
      <c r="X506" s="14"/>
    </row>
    <row r="507" spans="9:32" s="10" customFormat="1" hidden="1">
      <c r="I507" s="69" t="s">
        <v>361</v>
      </c>
      <c r="J507" s="153"/>
      <c r="K507" s="153"/>
      <c r="L507" s="153"/>
      <c r="M507" s="153"/>
      <c r="N507" s="153"/>
      <c r="O507" s="154"/>
      <c r="P507" s="154"/>
      <c r="Q507" s="155"/>
      <c r="R507" s="154"/>
      <c r="S507" s="65"/>
      <c r="T507" s="65"/>
      <c r="U507" s="65"/>
      <c r="V507" s="65">
        <v>9</v>
      </c>
      <c r="W507" s="65">
        <v>9</v>
      </c>
      <c r="X507" s="14"/>
    </row>
    <row r="508" spans="9:32" s="10" customFormat="1" hidden="1">
      <c r="I508" s="69" t="s">
        <v>21</v>
      </c>
      <c r="J508" s="153"/>
      <c r="K508" s="153"/>
      <c r="L508" s="153"/>
      <c r="M508" s="153"/>
      <c r="N508" s="153"/>
      <c r="O508" s="153"/>
      <c r="P508" s="153"/>
      <c r="Q508" s="155"/>
      <c r="R508" s="155"/>
      <c r="S508" s="65"/>
      <c r="T508" s="65"/>
      <c r="U508" s="65"/>
      <c r="V508" s="65">
        <f>SUM(V503:V507)</f>
        <v>33</v>
      </c>
      <c r="W508" s="65">
        <f>SUM(W503:W507)</f>
        <v>41</v>
      </c>
      <c r="X508" s="14"/>
    </row>
    <row r="509" spans="9:32" s="10" customFormat="1" hidden="1">
      <c r="I509" s="69"/>
      <c r="J509" s="153"/>
      <c r="K509" s="153"/>
      <c r="L509" s="153"/>
      <c r="M509" s="153"/>
      <c r="N509" s="153"/>
      <c r="O509" s="153"/>
      <c r="P509" s="153"/>
      <c r="Q509" s="155"/>
      <c r="R509" s="155"/>
      <c r="S509" s="65"/>
      <c r="T509" s="65"/>
      <c r="U509" s="65"/>
      <c r="V509" s="65"/>
      <c r="W509" s="65"/>
      <c r="X509" s="14"/>
    </row>
    <row r="510" spans="9:32" s="10" customFormat="1" hidden="1">
      <c r="I510" s="69" t="s">
        <v>350</v>
      </c>
      <c r="J510" s="156"/>
      <c r="K510" s="156"/>
      <c r="L510" s="156"/>
      <c r="M510" s="156"/>
      <c r="N510" s="156"/>
      <c r="O510" s="156"/>
      <c r="P510" s="156"/>
      <c r="Q510" s="156"/>
      <c r="R510" s="156"/>
      <c r="S510" s="156"/>
      <c r="T510" s="156"/>
      <c r="U510" s="156"/>
      <c r="V510" s="156">
        <f>V508/V456</f>
        <v>2.5384615384615383</v>
      </c>
      <c r="W510" s="156">
        <f>W508/W456</f>
        <v>2.7333333333333334</v>
      </c>
      <c r="X510" s="14"/>
    </row>
    <row r="511" spans="9:32" s="10" customFormat="1" hidden="1">
      <c r="I511" s="69" t="s">
        <v>351</v>
      </c>
      <c r="J511" s="154"/>
      <c r="K511" s="154"/>
      <c r="L511" s="154"/>
      <c r="M511" s="108"/>
      <c r="N511" s="108"/>
      <c r="O511" s="108"/>
      <c r="P511" s="108"/>
      <c r="Q511" s="108"/>
      <c r="R511" s="108"/>
      <c r="S511" s="108"/>
      <c r="T511" s="108"/>
      <c r="U511" s="108"/>
      <c r="V511" s="108">
        <f>V505/V456</f>
        <v>1.1538461538461537</v>
      </c>
      <c r="W511" s="108">
        <f>W505/W456</f>
        <v>1.3333333333333333</v>
      </c>
      <c r="X511" s="14"/>
    </row>
    <row r="512" spans="9:32" s="10" customFormat="1" hidden="1">
      <c r="I512" s="69" t="s">
        <v>344</v>
      </c>
      <c r="J512" s="64"/>
      <c r="K512" s="64"/>
      <c r="L512" s="64"/>
      <c r="M512" s="157"/>
      <c r="N512" s="157"/>
      <c r="O512" s="157"/>
      <c r="P512" s="157"/>
      <c r="Q512" s="157"/>
      <c r="R512" s="157"/>
      <c r="S512" s="157"/>
      <c r="T512" s="157"/>
      <c r="U512" s="157"/>
      <c r="V512" s="108">
        <f>V505/V456</f>
        <v>1.1538461538461537</v>
      </c>
      <c r="W512" s="108">
        <f>W505/W456</f>
        <v>1.3333333333333333</v>
      </c>
      <c r="X512" s="14"/>
    </row>
    <row r="513" spans="2:32" ht="15" hidden="1" customHeight="1">
      <c r="M513" s="163"/>
      <c r="N513" s="163"/>
      <c r="O513" s="163"/>
      <c r="P513" s="172"/>
      <c r="AC513" s="138"/>
      <c r="AD513" s="139"/>
      <c r="AE513" s="139"/>
      <c r="AF513" s="139"/>
    </row>
    <row r="514" spans="2:32" ht="15" hidden="1" customHeight="1">
      <c r="M514" s="163"/>
      <c r="N514" s="163"/>
      <c r="O514" s="163"/>
      <c r="P514" s="172"/>
      <c r="AC514" s="138"/>
      <c r="AD514" s="139"/>
      <c r="AE514" s="139"/>
      <c r="AF514" s="139"/>
    </row>
    <row r="515" spans="2:32" hidden="1">
      <c r="I515" s="4"/>
      <c r="J515" s="4"/>
      <c r="K515" s="4"/>
      <c r="L515" s="4"/>
      <c r="M515" s="158"/>
      <c r="N515" s="172"/>
      <c r="O515" s="172"/>
      <c r="P515" s="163"/>
      <c r="Q515" s="163"/>
      <c r="R515" s="163"/>
      <c r="U515" s="158"/>
      <c r="V515" s="158"/>
      <c r="W515" s="158"/>
    </row>
    <row r="516" spans="2:32" hidden="1">
      <c r="I516" s="382" t="s">
        <v>479</v>
      </c>
      <c r="J516" s="71"/>
      <c r="K516" s="71"/>
      <c r="L516" s="71"/>
      <c r="M516" s="72"/>
      <c r="N516" s="72"/>
      <c r="O516" s="72"/>
      <c r="P516" s="72"/>
      <c r="Q516" s="72"/>
      <c r="R516" s="72"/>
      <c r="S516" s="63"/>
      <c r="T516" s="65"/>
      <c r="U516" s="64"/>
      <c r="V516" s="64"/>
      <c r="W516" s="64"/>
    </row>
    <row r="517" spans="2:32" ht="15" hidden="1">
      <c r="I517" s="141"/>
      <c r="J517" s="141"/>
      <c r="K517" s="141"/>
      <c r="L517" s="141"/>
      <c r="M517" s="141"/>
      <c r="N517" s="141"/>
      <c r="O517" s="141"/>
      <c r="P517" s="141"/>
      <c r="Q517" s="141"/>
      <c r="R517" s="141"/>
      <c r="S517" s="141"/>
      <c r="T517" s="141"/>
      <c r="U517" s="141"/>
      <c r="V517" s="141">
        <v>2010</v>
      </c>
      <c r="W517" s="141">
        <v>2011</v>
      </c>
      <c r="X517" s="152">
        <v>2012</v>
      </c>
      <c r="Y517" s="152">
        <v>2013</v>
      </c>
      <c r="Z517" s="152">
        <v>2014</v>
      </c>
      <c r="AA517" s="152">
        <v>2015</v>
      </c>
    </row>
    <row r="518" spans="2:32" ht="14.25" hidden="1">
      <c r="I518" s="142" t="s">
        <v>203</v>
      </c>
      <c r="J518" s="142"/>
      <c r="K518" s="142"/>
      <c r="L518" s="142"/>
      <c r="M518" s="143"/>
      <c r="N518" s="143"/>
      <c r="O518" s="143"/>
      <c r="P518" s="143"/>
      <c r="Q518" s="143"/>
      <c r="R518" s="64"/>
      <c r="S518" s="64"/>
      <c r="T518" s="64"/>
      <c r="U518" s="65"/>
      <c r="V518" s="65"/>
      <c r="W518" s="65">
        <v>6</v>
      </c>
    </row>
    <row r="519" spans="2:32" ht="14.25" hidden="1">
      <c r="I519" s="142" t="s">
        <v>204</v>
      </c>
      <c r="J519" s="142"/>
      <c r="K519" s="142"/>
      <c r="L519" s="142"/>
      <c r="M519" s="143"/>
      <c r="N519" s="143"/>
      <c r="O519" s="143"/>
      <c r="P519" s="143"/>
      <c r="Q519" s="143"/>
      <c r="R519" s="64"/>
      <c r="S519" s="64"/>
      <c r="T519" s="64"/>
      <c r="U519" s="65"/>
      <c r="V519" s="65"/>
      <c r="W519" s="65">
        <v>28</v>
      </c>
    </row>
    <row r="520" spans="2:32" ht="14.25" hidden="1">
      <c r="I520" s="142" t="s">
        <v>45</v>
      </c>
      <c r="J520" s="142"/>
      <c r="K520" s="142"/>
      <c r="L520" s="142"/>
      <c r="M520" s="143"/>
      <c r="N520" s="143"/>
      <c r="O520" s="143"/>
      <c r="P520" s="143"/>
      <c r="Q520" s="143"/>
      <c r="R520" s="64"/>
      <c r="S520" s="64"/>
      <c r="T520" s="64"/>
      <c r="U520" s="65"/>
      <c r="V520" s="65"/>
      <c r="W520" s="65">
        <f>SUM(W518:W519)</f>
        <v>34</v>
      </c>
    </row>
    <row r="521" spans="2:32" hidden="1">
      <c r="B521" s="396"/>
      <c r="C521" s="396"/>
      <c r="D521" s="396"/>
      <c r="E521" s="396"/>
      <c r="F521" s="396"/>
      <c r="G521" s="396"/>
      <c r="H521" s="396"/>
      <c r="I521" s="397"/>
      <c r="J521" s="390"/>
      <c r="O521" s="176"/>
      <c r="R521" s="159"/>
      <c r="T521" s="159"/>
      <c r="U521" s="158"/>
      <c r="V521" s="176"/>
      <c r="W521" s="166"/>
      <c r="X521" s="2"/>
    </row>
    <row r="522" spans="2:32" ht="18" hidden="1" customHeight="1">
      <c r="I522" s="382" t="s">
        <v>480</v>
      </c>
      <c r="J522" s="72"/>
      <c r="K522" s="72"/>
      <c r="L522" s="72"/>
      <c r="M522" s="72"/>
      <c r="N522" s="72"/>
      <c r="O522" s="72"/>
      <c r="P522" s="63"/>
      <c r="Q522" s="65"/>
      <c r="R522" s="65"/>
      <c r="S522" s="65"/>
      <c r="T522" s="65"/>
      <c r="U522" s="65"/>
      <c r="V522" s="65"/>
      <c r="W522" s="65"/>
      <c r="X522" s="2"/>
    </row>
    <row r="523" spans="2:32" ht="15" hidden="1">
      <c r="I523" s="59"/>
      <c r="J523" s="70"/>
      <c r="K523" s="70"/>
      <c r="L523" s="70"/>
      <c r="M523" s="70"/>
      <c r="N523" s="70"/>
      <c r="O523" s="70"/>
      <c r="P523" s="70"/>
      <c r="Q523" s="70"/>
      <c r="R523" s="152"/>
      <c r="S523" s="152"/>
      <c r="T523" s="141"/>
      <c r="U523" s="141"/>
      <c r="V523" s="141">
        <v>2010</v>
      </c>
      <c r="W523" s="141">
        <v>2011</v>
      </c>
      <c r="X523" s="152">
        <v>2012</v>
      </c>
      <c r="Y523" s="152">
        <v>2013</v>
      </c>
      <c r="Z523" s="152">
        <v>2014</v>
      </c>
      <c r="AA523" s="152">
        <v>2015</v>
      </c>
    </row>
    <row r="524" spans="2:32" hidden="1">
      <c r="I524" s="59" t="s">
        <v>36</v>
      </c>
      <c r="J524" s="153"/>
      <c r="K524" s="153"/>
      <c r="L524" s="153"/>
      <c r="M524" s="153"/>
      <c r="N524" s="153"/>
      <c r="O524" s="154"/>
      <c r="P524" s="154"/>
      <c r="Q524" s="154"/>
      <c r="R524" s="154"/>
      <c r="S524" s="162"/>
      <c r="T524" s="162"/>
      <c r="U524" s="162"/>
      <c r="V524" s="162">
        <v>8</v>
      </c>
      <c r="W524" s="162">
        <v>10</v>
      </c>
      <c r="X524" s="162">
        <v>21</v>
      </c>
      <c r="Y524" s="4"/>
    </row>
    <row r="525" spans="2:32" hidden="1">
      <c r="I525" s="59" t="s">
        <v>37</v>
      </c>
      <c r="J525" s="153"/>
      <c r="K525" s="153"/>
      <c r="L525" s="153"/>
      <c r="M525" s="153"/>
      <c r="N525" s="153"/>
      <c r="O525" s="154"/>
      <c r="P525" s="154"/>
      <c r="Q525" s="154"/>
      <c r="R525" s="154"/>
      <c r="S525" s="162"/>
      <c r="T525" s="162"/>
      <c r="U525" s="162"/>
      <c r="V525" s="162">
        <v>9</v>
      </c>
      <c r="W525" s="162">
        <v>24</v>
      </c>
      <c r="X525" s="162">
        <v>11</v>
      </c>
      <c r="Y525" s="6"/>
    </row>
    <row r="526" spans="2:32" hidden="1">
      <c r="I526" s="59" t="s">
        <v>78</v>
      </c>
      <c r="J526" s="108"/>
      <c r="K526" s="108"/>
      <c r="L526" s="108"/>
      <c r="M526" s="108"/>
      <c r="N526" s="108"/>
      <c r="O526" s="108"/>
      <c r="P526" s="108"/>
      <c r="Q526" s="108"/>
      <c r="R526" s="108"/>
      <c r="S526" s="108"/>
      <c r="T526" s="108"/>
      <c r="U526" s="108"/>
      <c r="V526" s="108">
        <f>(V524+V525)/V456</f>
        <v>1.3076923076923077</v>
      </c>
      <c r="W526" s="108">
        <f>(W524+W525)/W456</f>
        <v>2.2666666666666666</v>
      </c>
      <c r="X526" s="108">
        <f>(X524+X525)/X456</f>
        <v>2</v>
      </c>
      <c r="Y526" s="2"/>
    </row>
    <row r="527" spans="2:32" hidden="1">
      <c r="I527" s="59"/>
      <c r="J527" s="108"/>
      <c r="K527" s="108"/>
      <c r="L527" s="108"/>
      <c r="M527" s="108"/>
      <c r="N527" s="108"/>
      <c r="O527" s="108"/>
      <c r="P527" s="108"/>
      <c r="Q527" s="108"/>
      <c r="R527" s="108"/>
      <c r="S527" s="108"/>
      <c r="T527" s="108"/>
      <c r="U527" s="108"/>
      <c r="V527" s="108"/>
      <c r="W527" s="108"/>
      <c r="X527" s="6"/>
      <c r="Y527" s="2"/>
    </row>
    <row r="528" spans="2:32" s="10" customFormat="1" ht="15.75" hidden="1">
      <c r="I528" s="3"/>
      <c r="J528" s="3"/>
      <c r="K528" s="3"/>
      <c r="L528" s="64"/>
      <c r="M528" s="65"/>
      <c r="N528" s="65"/>
      <c r="O528" s="96">
        <f t="shared" ref="O528:W528" si="59">O367/O369</f>
        <v>166.52777777777777</v>
      </c>
      <c r="P528" s="96">
        <f t="shared" si="59"/>
        <v>211.45714285714286</v>
      </c>
      <c r="Q528" s="96">
        <f t="shared" si="59"/>
        <v>291.68240499999996</v>
      </c>
      <c r="R528" s="96">
        <f t="shared" si="59"/>
        <v>361.8396468571429</v>
      </c>
      <c r="S528" s="96">
        <f t="shared" si="59"/>
        <v>404.73377971428573</v>
      </c>
      <c r="T528" s="96">
        <f t="shared" si="59"/>
        <v>407.34170045454545</v>
      </c>
      <c r="U528" s="96">
        <f t="shared" si="59"/>
        <v>586.31312062500001</v>
      </c>
      <c r="V528" s="96">
        <f t="shared" si="59"/>
        <v>1108.1084673469388</v>
      </c>
      <c r="W528" s="96">
        <f t="shared" si="59"/>
        <v>989.00370596153857</v>
      </c>
      <c r="X528" s="243"/>
      <c r="Y528" s="243"/>
      <c r="AA528" s="244"/>
    </row>
    <row r="529" spans="2:28" hidden="1">
      <c r="I529" s="71" t="s">
        <v>80</v>
      </c>
      <c r="J529" s="71"/>
      <c r="K529" s="71"/>
      <c r="L529" s="249"/>
      <c r="M529" s="249"/>
      <c r="N529" s="249"/>
      <c r="O529" s="250"/>
      <c r="P529" s="64"/>
      <c r="Q529" s="64"/>
      <c r="R529" s="65"/>
      <c r="S529" s="65"/>
      <c r="T529" s="65"/>
      <c r="U529" s="65"/>
      <c r="V529" s="65"/>
      <c r="W529" s="64"/>
      <c r="X529" s="243"/>
      <c r="Y529" s="243"/>
      <c r="Z529" s="10"/>
    </row>
    <row r="530" spans="2:28" hidden="1">
      <c r="I530" s="148" t="s">
        <v>447</v>
      </c>
      <c r="J530" s="148"/>
      <c r="K530" s="148"/>
      <c r="L530" s="70" t="s">
        <v>25</v>
      </c>
      <c r="M530" s="70" t="s">
        <v>44</v>
      </c>
      <c r="N530" s="70" t="s">
        <v>55</v>
      </c>
      <c r="O530" s="70" t="s">
        <v>70</v>
      </c>
      <c r="P530" s="70" t="s">
        <v>72</v>
      </c>
      <c r="Q530" s="148">
        <v>2005</v>
      </c>
      <c r="R530" s="148">
        <v>2006</v>
      </c>
      <c r="S530" s="148">
        <v>2007</v>
      </c>
      <c r="T530" s="148">
        <v>2008</v>
      </c>
      <c r="U530" s="148">
        <v>2009</v>
      </c>
      <c r="V530" s="148">
        <v>2010</v>
      </c>
      <c r="W530" s="148">
        <v>2011</v>
      </c>
      <c r="X530" s="243"/>
      <c r="Y530" s="243"/>
      <c r="Z530" s="10"/>
    </row>
    <row r="531" spans="2:28" ht="15" hidden="1">
      <c r="I531" s="62" t="s">
        <v>354</v>
      </c>
      <c r="J531" s="62"/>
      <c r="K531" s="62"/>
      <c r="L531" s="72"/>
      <c r="M531" s="72"/>
      <c r="N531" s="72"/>
      <c r="O531" s="72"/>
      <c r="P531" s="72"/>
      <c r="Q531" s="72"/>
      <c r="R531" s="72"/>
      <c r="S531" s="64"/>
      <c r="T531" s="64"/>
      <c r="U531" s="64"/>
      <c r="V531" s="64">
        <v>24952</v>
      </c>
      <c r="W531" s="64">
        <f>1135+12398</f>
        <v>13533</v>
      </c>
      <c r="AA531" s="242"/>
      <c r="AB531" s="344"/>
    </row>
    <row r="532" spans="2:28" ht="15" hidden="1">
      <c r="I532" s="59" t="s">
        <v>355</v>
      </c>
      <c r="J532" s="59"/>
      <c r="K532" s="59"/>
      <c r="L532" s="72"/>
      <c r="M532" s="72"/>
      <c r="N532" s="72"/>
      <c r="O532" s="72"/>
      <c r="P532" s="72"/>
      <c r="Q532" s="72"/>
      <c r="R532" s="64"/>
      <c r="S532" s="64"/>
      <c r="T532" s="64"/>
      <c r="U532" s="64"/>
      <c r="V532" s="64">
        <f>V455</f>
        <v>26</v>
      </c>
      <c r="W532" s="64">
        <f>W455</f>
        <v>28</v>
      </c>
      <c r="AB532" s="344"/>
    </row>
    <row r="533" spans="2:28" ht="15" hidden="1">
      <c r="I533" s="59" t="s">
        <v>402</v>
      </c>
      <c r="J533" s="59"/>
      <c r="K533" s="59"/>
      <c r="L533" s="64"/>
      <c r="M533" s="64"/>
      <c r="N533" s="64"/>
      <c r="O533" s="64"/>
      <c r="P533" s="64"/>
      <c r="Q533" s="64"/>
      <c r="R533" s="64"/>
      <c r="S533" s="64"/>
      <c r="T533" s="64"/>
      <c r="U533" s="64"/>
      <c r="V533" s="64">
        <f>V456</f>
        <v>13</v>
      </c>
      <c r="W533" s="64">
        <f>W456</f>
        <v>15</v>
      </c>
      <c r="AB533" s="344"/>
    </row>
    <row r="534" spans="2:28" hidden="1">
      <c r="I534" s="59" t="s">
        <v>356</v>
      </c>
      <c r="J534" s="59"/>
      <c r="K534" s="59"/>
      <c r="L534" s="100"/>
      <c r="M534" s="100"/>
      <c r="N534" s="100"/>
      <c r="O534" s="100"/>
      <c r="P534" s="100"/>
      <c r="Q534" s="100"/>
      <c r="R534" s="100"/>
      <c r="S534" s="100"/>
      <c r="T534" s="100"/>
      <c r="U534" s="100"/>
      <c r="V534" s="100">
        <f>V531/V532</f>
        <v>959.69230769230774</v>
      </c>
      <c r="W534" s="100">
        <f>W531/W532</f>
        <v>483.32142857142856</v>
      </c>
      <c r="AB534" s="10"/>
    </row>
    <row r="535" spans="2:28" ht="15.75" hidden="1">
      <c r="I535" s="59" t="s">
        <v>364</v>
      </c>
      <c r="J535" s="59"/>
      <c r="K535" s="59"/>
      <c r="L535" s="64"/>
      <c r="M535" s="65"/>
      <c r="N535" s="65"/>
      <c r="O535" s="96"/>
      <c r="P535" s="96"/>
      <c r="Q535" s="96"/>
      <c r="R535" s="96"/>
      <c r="S535" s="96"/>
      <c r="T535" s="96"/>
      <c r="U535" s="96"/>
      <c r="V535" s="96">
        <f>V531/V533</f>
        <v>1919.3846153846155</v>
      </c>
      <c r="W535" s="96">
        <f>W531/W533</f>
        <v>902.2</v>
      </c>
      <c r="AA535" s="240"/>
      <c r="AB535" s="10"/>
    </row>
    <row r="536" spans="2:28" s="10" customFormat="1" ht="15.75" hidden="1">
      <c r="I536" s="173" t="s">
        <v>497</v>
      </c>
      <c r="J536" s="173"/>
      <c r="K536" s="173"/>
      <c r="L536" s="173"/>
      <c r="M536" s="98"/>
      <c r="N536" s="98"/>
      <c r="O536" s="243"/>
      <c r="P536" s="243"/>
      <c r="Q536" s="243"/>
      <c r="R536" s="243"/>
      <c r="S536" s="243"/>
      <c r="T536" s="243"/>
      <c r="U536" s="243"/>
      <c r="V536" s="243"/>
      <c r="W536" s="271" t="s">
        <v>460</v>
      </c>
    </row>
    <row r="537" spans="2:28" hidden="1">
      <c r="I537" s="245"/>
      <c r="J537" s="245"/>
      <c r="K537" s="245"/>
      <c r="L537" s="64"/>
      <c r="M537" s="65"/>
      <c r="N537" s="65"/>
      <c r="O537" s="96"/>
      <c r="P537" s="96"/>
      <c r="Q537" s="96"/>
      <c r="R537" s="148">
        <v>2006</v>
      </c>
      <c r="S537" s="148">
        <v>2007</v>
      </c>
      <c r="T537" s="148">
        <v>2008</v>
      </c>
      <c r="U537" s="148">
        <v>2009</v>
      </c>
      <c r="V537" s="148">
        <v>2010</v>
      </c>
      <c r="W537" s="191">
        <v>2011</v>
      </c>
      <c r="X537" s="152">
        <v>2012</v>
      </c>
      <c r="Y537" s="152">
        <v>2013</v>
      </c>
      <c r="Z537" s="152">
        <v>2014</v>
      </c>
      <c r="AA537" s="152">
        <v>2015</v>
      </c>
    </row>
    <row r="538" spans="2:28" hidden="1">
      <c r="I538" s="245" t="s">
        <v>436</v>
      </c>
      <c r="J538" s="245"/>
      <c r="K538" s="245"/>
      <c r="L538" s="64"/>
      <c r="M538" s="65"/>
      <c r="N538" s="65"/>
      <c r="O538" s="96"/>
      <c r="P538" s="96"/>
      <c r="Q538" s="96"/>
      <c r="R538" s="72">
        <v>19626.240000000002</v>
      </c>
      <c r="S538" s="72">
        <v>30798.892</v>
      </c>
      <c r="T538" s="72">
        <v>7528.22</v>
      </c>
      <c r="U538" s="72">
        <v>9920.4775200000004</v>
      </c>
      <c r="V538" s="72">
        <v>17359.068149999999</v>
      </c>
      <c r="W538" s="64">
        <v>13262.276089999999</v>
      </c>
      <c r="X538" s="64">
        <v>15668</v>
      </c>
      <c r="AA538" s="10"/>
    </row>
    <row r="539" spans="2:28" hidden="1">
      <c r="I539" s="245" t="s">
        <v>435</v>
      </c>
      <c r="J539" s="245"/>
      <c r="K539" s="245"/>
      <c r="L539" s="64"/>
      <c r="M539" s="65"/>
      <c r="N539" s="65"/>
      <c r="O539" s="96"/>
      <c r="P539" s="96"/>
      <c r="Q539" s="96"/>
      <c r="R539" s="72">
        <v>8845.6382400000002</v>
      </c>
      <c r="S539" s="72">
        <v>15702.658429999999</v>
      </c>
      <c r="T539" s="72">
        <v>5042.73333</v>
      </c>
      <c r="U539" s="72">
        <v>25315.209760000002</v>
      </c>
      <c r="V539" s="72">
        <v>5176.8549999999996</v>
      </c>
      <c r="W539" s="64">
        <v>12331.06531</v>
      </c>
      <c r="X539" s="64">
        <v>3280.5</v>
      </c>
      <c r="AA539" s="10"/>
    </row>
    <row r="540" spans="2:28" hidden="1">
      <c r="I540" s="245" t="s">
        <v>437</v>
      </c>
      <c r="J540" s="245"/>
      <c r="K540" s="245"/>
      <c r="L540" s="64"/>
      <c r="M540" s="65"/>
      <c r="N540" s="65"/>
      <c r="O540" s="96"/>
      <c r="P540" s="96"/>
      <c r="Q540" s="96"/>
      <c r="R540" s="72">
        <v>462.82</v>
      </c>
      <c r="S540" s="72">
        <v>2201.4229999999998</v>
      </c>
      <c r="T540" s="72">
        <v>2881.056</v>
      </c>
      <c r="U540" s="72">
        <v>2825.98</v>
      </c>
      <c r="V540" s="72">
        <v>17111.766</v>
      </c>
      <c r="W540" s="64">
        <v>25522</v>
      </c>
      <c r="X540" s="64">
        <v>41930.5</v>
      </c>
      <c r="AA540" s="10"/>
    </row>
    <row r="541" spans="2:28" s="10" customFormat="1" hidden="1">
      <c r="I541" s="358" t="s">
        <v>21</v>
      </c>
      <c r="J541" s="358"/>
      <c r="K541" s="358"/>
      <c r="L541" s="260"/>
      <c r="M541" s="261"/>
      <c r="N541" s="261"/>
      <c r="O541" s="263"/>
      <c r="P541" s="263"/>
      <c r="Q541" s="263"/>
      <c r="R541" s="260">
        <f t="shared" ref="R541:U541" si="60">SUM(R538:R540)</f>
        <v>28934.698240000002</v>
      </c>
      <c r="S541" s="260">
        <f t="shared" si="60"/>
        <v>48702.973430000005</v>
      </c>
      <c r="T541" s="260">
        <f t="shared" si="60"/>
        <v>15452.009330000001</v>
      </c>
      <c r="U541" s="260">
        <f t="shared" si="60"/>
        <v>38061.667280000001</v>
      </c>
      <c r="V541" s="260">
        <f>SUM(V538:V540)</f>
        <v>39647.689149999998</v>
      </c>
      <c r="W541" s="260">
        <f>SUM(W538:W540)</f>
        <v>51115.341399999998</v>
      </c>
      <c r="X541" s="260">
        <f>SUM(X538:X540)</f>
        <v>60879</v>
      </c>
    </row>
    <row r="542" spans="2:28" hidden="1">
      <c r="B542" s="396"/>
      <c r="C542" s="396"/>
      <c r="D542" s="396"/>
      <c r="E542" s="396"/>
      <c r="F542" s="396"/>
      <c r="G542" s="396"/>
      <c r="H542" s="396"/>
      <c r="I542" s="397"/>
      <c r="J542" s="390"/>
      <c r="O542" s="176"/>
      <c r="R542" s="159"/>
      <c r="T542" s="159"/>
      <c r="U542" s="158"/>
      <c r="V542" s="176"/>
      <c r="W542" s="166"/>
      <c r="X542" s="2"/>
    </row>
    <row r="543" spans="2:28" s="10" customFormat="1" ht="15.75" hidden="1">
      <c r="I543" s="386" t="s">
        <v>481</v>
      </c>
      <c r="J543" s="389"/>
      <c r="K543" s="389"/>
      <c r="L543" s="389"/>
      <c r="M543" s="389"/>
      <c r="N543" s="390"/>
      <c r="O543" s="390"/>
      <c r="P543" s="391"/>
      <c r="Q543" s="391"/>
      <c r="R543" s="392"/>
      <c r="S543" s="392"/>
      <c r="T543" s="392"/>
      <c r="U543" s="392"/>
      <c r="V543" s="392"/>
      <c r="W543" s="392"/>
      <c r="X543" s="392"/>
      <c r="Y543" s="392"/>
      <c r="Z543" s="388"/>
      <c r="AA543" s="393"/>
    </row>
    <row r="544" spans="2:28" hidden="1">
      <c r="I544" s="358"/>
      <c r="J544" s="346"/>
      <c r="K544" s="346"/>
      <c r="L544" s="346"/>
      <c r="M544" s="346"/>
      <c r="N544" s="260"/>
      <c r="O544" s="260"/>
      <c r="P544" s="261"/>
      <c r="Q544" s="261"/>
      <c r="R544" s="263"/>
      <c r="S544" s="263"/>
      <c r="T544" s="263"/>
      <c r="U544" s="262"/>
      <c r="V544" s="262"/>
      <c r="W544" s="264">
        <v>2011</v>
      </c>
      <c r="X544" s="152">
        <v>2012</v>
      </c>
      <c r="Y544" s="152">
        <v>2013</v>
      </c>
      <c r="Z544" s="152">
        <v>2014</v>
      </c>
      <c r="AA544" s="152">
        <v>2015</v>
      </c>
      <c r="AB544" s="10"/>
    </row>
    <row r="545" spans="9:39" hidden="1">
      <c r="I545" s="358" t="s">
        <v>436</v>
      </c>
      <c r="J545" s="346"/>
      <c r="K545" s="346"/>
      <c r="L545" s="346"/>
      <c r="M545" s="346"/>
      <c r="N545" s="260"/>
      <c r="O545" s="260"/>
      <c r="P545" s="261"/>
      <c r="Q545" s="261"/>
      <c r="R545" s="263"/>
      <c r="S545" s="263"/>
      <c r="T545" s="263"/>
      <c r="U545" s="346"/>
      <c r="V545" s="346"/>
      <c r="W545" s="260">
        <v>800</v>
      </c>
      <c r="X545" s="346"/>
      <c r="Y545" s="346"/>
      <c r="Z545" s="346"/>
      <c r="AA545" s="346"/>
      <c r="AB545" s="10"/>
    </row>
    <row r="546" spans="9:39" hidden="1">
      <c r="I546" s="358" t="s">
        <v>435</v>
      </c>
      <c r="J546" s="346"/>
      <c r="K546" s="346"/>
      <c r="L546" s="346"/>
      <c r="M546" s="346"/>
      <c r="N546" s="260"/>
      <c r="O546" s="260"/>
      <c r="P546" s="261"/>
      <c r="Q546" s="261"/>
      <c r="R546" s="263"/>
      <c r="S546" s="263"/>
      <c r="T546" s="263"/>
      <c r="U546" s="346"/>
      <c r="V546" s="346"/>
      <c r="W546" s="260">
        <v>9443</v>
      </c>
      <c r="X546" s="346"/>
      <c r="Y546" s="346"/>
      <c r="Z546" s="346"/>
      <c r="AA546" s="346"/>
      <c r="AB546" s="10"/>
    </row>
    <row r="547" spans="9:39" hidden="1">
      <c r="I547" s="358" t="s">
        <v>437</v>
      </c>
      <c r="J547" s="346"/>
      <c r="K547" s="346"/>
      <c r="L547" s="346"/>
      <c r="M547" s="346"/>
      <c r="N547" s="260"/>
      <c r="O547" s="260"/>
      <c r="P547" s="261"/>
      <c r="Q547" s="261"/>
      <c r="R547" s="263"/>
      <c r="S547" s="263"/>
      <c r="T547" s="263"/>
      <c r="U547" s="346"/>
      <c r="V547" s="346"/>
      <c r="W547" s="260">
        <v>2516</v>
      </c>
      <c r="X547" s="346"/>
      <c r="Y547" s="346"/>
      <c r="Z547" s="346"/>
      <c r="AA547" s="346"/>
      <c r="AB547" s="10"/>
    </row>
    <row r="548" spans="9:39" s="10" customFormat="1" ht="15.75" hidden="1">
      <c r="I548" s="358" t="s">
        <v>21</v>
      </c>
      <c r="J548" s="346"/>
      <c r="K548" s="346"/>
      <c r="L548" s="346"/>
      <c r="M548" s="346"/>
      <c r="N548" s="260"/>
      <c r="O548" s="260"/>
      <c r="P548" s="261"/>
      <c r="Q548" s="261"/>
      <c r="R548" s="263"/>
      <c r="S548" s="263"/>
      <c r="T548" s="263"/>
      <c r="U548" s="263"/>
      <c r="V548" s="263"/>
      <c r="W548" s="345">
        <f>SUM(W545:W547)</f>
        <v>12759</v>
      </c>
      <c r="X548" s="263"/>
      <c r="Y548" s="387"/>
      <c r="Z548" s="269"/>
      <c r="AA548" s="269"/>
    </row>
    <row r="549" spans="9:39" s="10" customFormat="1" ht="19.5" hidden="1" customHeight="1">
      <c r="I549" s="245" t="s">
        <v>417</v>
      </c>
      <c r="J549" s="174"/>
      <c r="K549" s="174"/>
      <c r="L549" s="174"/>
      <c r="M549" s="174"/>
      <c r="N549" s="173"/>
      <c r="O549" s="173"/>
      <c r="P549" s="98"/>
      <c r="Q549" s="98"/>
      <c r="R549" s="243"/>
      <c r="S549" s="243"/>
      <c r="T549" s="243"/>
      <c r="U549" s="243"/>
      <c r="V549" s="243"/>
      <c r="W549" s="243"/>
      <c r="Y549" s="244"/>
    </row>
    <row r="550" spans="9:39" s="10" customFormat="1" ht="15.75" hidden="1">
      <c r="I550" s="245" t="s">
        <v>418</v>
      </c>
      <c r="J550" s="174"/>
      <c r="K550" s="174"/>
      <c r="L550" s="174"/>
      <c r="M550" s="174"/>
      <c r="N550" s="173"/>
      <c r="O550" s="173"/>
      <c r="P550" s="98"/>
      <c r="Q550" s="98"/>
      <c r="R550" s="243"/>
      <c r="S550" s="243"/>
      <c r="T550" s="243"/>
      <c r="U550" s="243"/>
      <c r="V550" s="243"/>
      <c r="W550" s="243"/>
      <c r="AA550" s="243"/>
      <c r="AB550" s="246"/>
    </row>
    <row r="551" spans="9:39" s="10" customFormat="1" ht="15.75" hidden="1">
      <c r="I551" s="245" t="s">
        <v>5</v>
      </c>
      <c r="J551" s="174"/>
      <c r="K551" s="174"/>
      <c r="L551" s="174"/>
      <c r="M551" s="174"/>
      <c r="N551" s="173"/>
      <c r="O551" s="173"/>
      <c r="P551" s="98"/>
      <c r="Q551" s="98"/>
      <c r="R551" s="243"/>
      <c r="S551" s="243"/>
      <c r="T551" s="243"/>
      <c r="U551" s="243"/>
      <c r="V551" s="243"/>
      <c r="W551" s="243"/>
      <c r="AA551" s="243"/>
      <c r="AB551" s="244"/>
    </row>
    <row r="552" spans="9:39" ht="15.75" hidden="1">
      <c r="I552" s="245"/>
      <c r="U552" s="158"/>
      <c r="V552" s="158"/>
      <c r="W552" s="158"/>
      <c r="X552" s="171"/>
      <c r="Y552" s="240"/>
      <c r="Z552" s="14"/>
      <c r="AA552" s="10"/>
      <c r="AB552" s="10"/>
    </row>
    <row r="553" spans="9:39" ht="15.75" hidden="1">
      <c r="I553" s="245"/>
      <c r="U553" s="158"/>
      <c r="V553" s="158"/>
      <c r="W553" s="158"/>
      <c r="X553" s="171"/>
      <c r="Y553" s="240"/>
      <c r="Z553" s="14"/>
      <c r="AA553" s="10"/>
      <c r="AB553" s="10"/>
    </row>
    <row r="554" spans="9:39" s="10" customFormat="1" hidden="1">
      <c r="J554" s="174"/>
      <c r="K554" s="174"/>
      <c r="L554" s="174"/>
      <c r="M554" s="174"/>
      <c r="N554" s="174"/>
      <c r="O554" s="174"/>
      <c r="P554" s="174"/>
      <c r="Q554" s="174"/>
      <c r="R554" s="174"/>
      <c r="S554" s="174"/>
      <c r="T554" s="174"/>
      <c r="U554" s="174"/>
      <c r="V554" s="7"/>
      <c r="W554" s="7"/>
      <c r="Z554" s="14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</row>
    <row r="555" spans="9:39" s="10" customFormat="1" hidden="1">
      <c r="I555" s="394"/>
      <c r="J555" s="395"/>
      <c r="K555" s="395"/>
      <c r="L555" s="395"/>
      <c r="M555" s="395"/>
      <c r="N555" s="395"/>
      <c r="O555" s="395"/>
      <c r="P555" s="395"/>
      <c r="Q555" s="395"/>
      <c r="R555" s="395"/>
      <c r="S555" s="395"/>
      <c r="T555" s="395"/>
      <c r="U555" s="395"/>
      <c r="V555" s="395"/>
      <c r="W555" s="395"/>
      <c r="Z555" s="14"/>
      <c r="AA555" s="365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</row>
    <row r="556" spans="9:39" s="10" customFormat="1" ht="12.75" hidden="1" customHeight="1">
      <c r="I556" s="386" t="s">
        <v>448</v>
      </c>
      <c r="J556" s="151" t="s">
        <v>2</v>
      </c>
      <c r="K556" s="151" t="s">
        <v>22</v>
      </c>
      <c r="L556" s="151" t="s">
        <v>25</v>
      </c>
      <c r="M556" s="151" t="s">
        <v>44</v>
      </c>
      <c r="N556" s="151" t="s">
        <v>55</v>
      </c>
      <c r="O556" s="148" t="s">
        <v>70</v>
      </c>
      <c r="P556" s="148" t="s">
        <v>72</v>
      </c>
      <c r="Q556" s="148">
        <v>2005</v>
      </c>
      <c r="R556" s="151" t="s">
        <v>83</v>
      </c>
      <c r="S556" s="151">
        <v>2007</v>
      </c>
      <c r="T556" s="151">
        <v>2008</v>
      </c>
      <c r="U556" s="148">
        <v>2009</v>
      </c>
      <c r="V556" s="148">
        <v>2010</v>
      </c>
      <c r="W556" s="148"/>
      <c r="Z556" s="343"/>
      <c r="AA556" s="169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</row>
    <row r="557" spans="9:39" s="10" customFormat="1" hidden="1">
      <c r="I557" s="245" t="s">
        <v>438</v>
      </c>
      <c r="J557" s="72"/>
      <c r="K557" s="72"/>
      <c r="L557" s="72"/>
      <c r="M557" s="72"/>
      <c r="N557" s="72"/>
      <c r="O557" s="72"/>
      <c r="P557" s="72"/>
      <c r="Q557" s="72"/>
      <c r="R557" s="72"/>
      <c r="S557" s="72"/>
      <c r="T557" s="99"/>
      <c r="U557" s="99"/>
      <c r="V557" s="99"/>
      <c r="W557" s="99"/>
      <c r="Z557" s="14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</row>
    <row r="558" spans="9:39" s="10" customFormat="1" hidden="1">
      <c r="I558" s="59" t="s">
        <v>227</v>
      </c>
      <c r="J558" s="72"/>
      <c r="K558" s="72"/>
      <c r="L558" s="72"/>
      <c r="M558" s="72"/>
      <c r="N558" s="72"/>
      <c r="O558" s="72"/>
      <c r="P558" s="72"/>
      <c r="Q558" s="72"/>
      <c r="R558" s="72"/>
      <c r="S558" s="72"/>
      <c r="T558" s="99"/>
      <c r="U558" s="99"/>
      <c r="V558" s="99">
        <v>2829</v>
      </c>
      <c r="W558" s="99"/>
      <c r="Z558" s="14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</row>
    <row r="559" spans="9:39" s="10" customFormat="1" hidden="1">
      <c r="I559" s="59" t="s">
        <v>19</v>
      </c>
      <c r="J559" s="72"/>
      <c r="K559" s="72"/>
      <c r="L559" s="72"/>
      <c r="M559" s="72"/>
      <c r="N559" s="72"/>
      <c r="O559" s="72"/>
      <c r="P559" s="72"/>
      <c r="Q559" s="72"/>
      <c r="R559" s="72"/>
      <c r="S559" s="72"/>
      <c r="T559" s="99"/>
      <c r="U559" s="99"/>
      <c r="V559" s="99"/>
      <c r="W559" s="99"/>
      <c r="Z559" s="14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</row>
    <row r="560" spans="9:39" s="10" customFormat="1" hidden="1">
      <c r="I560" s="59" t="s">
        <v>48</v>
      </c>
      <c r="J560" s="133"/>
      <c r="K560" s="133"/>
      <c r="L560" s="133"/>
      <c r="M560" s="133"/>
      <c r="N560" s="133"/>
      <c r="O560" s="133"/>
      <c r="P560" s="133"/>
      <c r="Q560" s="133"/>
      <c r="R560" s="133"/>
      <c r="S560" s="133"/>
      <c r="T560" s="133"/>
      <c r="U560" s="133"/>
      <c r="V560" s="133"/>
      <c r="W560" s="133"/>
      <c r="Z560" s="14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</row>
    <row r="561" spans="9:39" s="10" customFormat="1" hidden="1">
      <c r="I561" s="3"/>
      <c r="J561" s="167"/>
      <c r="K561" s="167"/>
      <c r="L561" s="167"/>
      <c r="M561" s="167"/>
      <c r="N561" s="167"/>
      <c r="O561" s="167"/>
      <c r="P561" s="167"/>
      <c r="Q561" s="167"/>
      <c r="R561" s="167"/>
      <c r="S561" s="174"/>
      <c r="T561" s="174"/>
      <c r="U561" s="174"/>
      <c r="V561" s="206"/>
      <c r="W561" s="7"/>
      <c r="Z561" s="14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</row>
    <row r="562" spans="9:39" s="10" customFormat="1" hidden="1">
      <c r="I562" s="71" t="s">
        <v>450</v>
      </c>
      <c r="J562" s="151" t="s">
        <v>2</v>
      </c>
      <c r="K562" s="151" t="s">
        <v>22</v>
      </c>
      <c r="L562" s="151" t="s">
        <v>25</v>
      </c>
      <c r="M562" s="151" t="s">
        <v>44</v>
      </c>
      <c r="N562" s="151" t="s">
        <v>55</v>
      </c>
      <c r="O562" s="148" t="s">
        <v>70</v>
      </c>
      <c r="P562" s="148" t="s">
        <v>72</v>
      </c>
      <c r="Q562" s="148">
        <v>2005</v>
      </c>
      <c r="R562" s="151" t="s">
        <v>83</v>
      </c>
      <c r="S562" s="151">
        <v>2007</v>
      </c>
      <c r="T562" s="191">
        <v>2008</v>
      </c>
      <c r="U562" s="191">
        <v>2009</v>
      </c>
      <c r="V562" s="191">
        <v>2010</v>
      </c>
      <c r="W562" s="191">
        <v>2011</v>
      </c>
      <c r="X562" s="152">
        <v>2012</v>
      </c>
      <c r="Y562" s="152">
        <v>2013</v>
      </c>
      <c r="Z562" s="152">
        <v>2014</v>
      </c>
      <c r="AA562" s="152">
        <v>2015</v>
      </c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</row>
    <row r="563" spans="9:39" s="10" customFormat="1" hidden="1">
      <c r="I563" s="245" t="s">
        <v>438</v>
      </c>
      <c r="J563" s="99">
        <f t="shared" ref="J563:W563" si="61">J373/$X$568</f>
        <v>1.609</v>
      </c>
      <c r="K563" s="99">
        <f t="shared" si="61"/>
        <v>2.3290000000000002</v>
      </c>
      <c r="L563" s="99">
        <f t="shared" si="61"/>
        <v>5.2534000000000001</v>
      </c>
      <c r="M563" s="99">
        <f t="shared" si="61"/>
        <v>5.7679</v>
      </c>
      <c r="N563" s="99">
        <f t="shared" si="61"/>
        <v>5.67</v>
      </c>
      <c r="O563" s="99">
        <f t="shared" si="61"/>
        <v>5.9954000000000001</v>
      </c>
      <c r="P563" s="72">
        <f t="shared" si="61"/>
        <v>8.5346000000000011</v>
      </c>
      <c r="Q563" s="72">
        <f t="shared" si="61"/>
        <v>12.4435</v>
      </c>
      <c r="R563" s="364">
        <f t="shared" si="61"/>
        <v>14.228299999999999</v>
      </c>
      <c r="S563" s="364">
        <f t="shared" si="61"/>
        <v>16.791</v>
      </c>
      <c r="T563" s="364">
        <f t="shared" si="61"/>
        <v>23.903669999999998</v>
      </c>
      <c r="U563" s="364">
        <f t="shared" si="61"/>
        <v>41.354199999999999</v>
      </c>
      <c r="V563" s="364">
        <f t="shared" si="61"/>
        <v>63.615699999999997</v>
      </c>
      <c r="W563" s="364">
        <f t="shared" si="61"/>
        <v>58.13</v>
      </c>
      <c r="X563" s="364"/>
      <c r="Y563" s="364"/>
      <c r="Z563" s="364"/>
      <c r="AA563" s="364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</row>
    <row r="564" spans="9:39" s="10" customFormat="1" hidden="1">
      <c r="I564" s="59" t="s">
        <v>227</v>
      </c>
      <c r="J564" s="99">
        <f t="shared" ref="J564:W564" si="62">J374/$X$568</f>
        <v>3.4289999999999998</v>
      </c>
      <c r="K564" s="99">
        <f t="shared" si="62"/>
        <v>5.5679999999999996</v>
      </c>
      <c r="L564" s="99">
        <f t="shared" si="62"/>
        <v>8.0882000000000005</v>
      </c>
      <c r="M564" s="99">
        <f t="shared" si="62"/>
        <v>9.2074999999999996</v>
      </c>
      <c r="N564" s="99">
        <f t="shared" si="62"/>
        <v>11.208</v>
      </c>
      <c r="O564" s="99">
        <f t="shared" si="62"/>
        <v>14.975626119999999</v>
      </c>
      <c r="P564" s="72">
        <f t="shared" si="62"/>
        <v>12.625699999999998</v>
      </c>
      <c r="Q564" s="72">
        <f t="shared" si="62"/>
        <v>31.627180069999998</v>
      </c>
      <c r="R564" s="364">
        <f t="shared" si="62"/>
        <v>35.178976999999996</v>
      </c>
      <c r="S564" s="364">
        <f t="shared" si="62"/>
        <v>55.959000000000003</v>
      </c>
      <c r="T564" s="364">
        <f t="shared" si="62"/>
        <v>16.667999999999999</v>
      </c>
      <c r="U564" s="364">
        <f t="shared" si="62"/>
        <v>37.955940630000008</v>
      </c>
      <c r="V564" s="364">
        <f t="shared" si="62"/>
        <v>39.2224</v>
      </c>
      <c r="W564" s="364">
        <f t="shared" si="62"/>
        <v>50.622999999999998</v>
      </c>
      <c r="X564" s="364"/>
      <c r="Y564" s="364"/>
      <c r="Z564" s="364"/>
      <c r="AA564" s="364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</row>
    <row r="565" spans="9:39" s="10" customFormat="1" hidden="1">
      <c r="I565" s="59" t="s">
        <v>19</v>
      </c>
      <c r="J565" s="99">
        <f t="shared" ref="J565:W565" si="63">J375/$X$568</f>
        <v>38.01</v>
      </c>
      <c r="K565" s="99">
        <f t="shared" si="63"/>
        <v>48.301000000000002</v>
      </c>
      <c r="L565" s="99">
        <f t="shared" si="63"/>
        <v>59.176000000000002</v>
      </c>
      <c r="M565" s="99">
        <f t="shared" si="63"/>
        <v>69.173699999999997</v>
      </c>
      <c r="N565" s="99">
        <f t="shared" si="63"/>
        <v>67.67</v>
      </c>
      <c r="O565" s="99">
        <f t="shared" si="63"/>
        <v>87.710999999999999</v>
      </c>
      <c r="P565" s="72">
        <f t="shared" si="63"/>
        <v>84.3018</v>
      </c>
      <c r="Q565" s="72">
        <f t="shared" si="63"/>
        <v>88.311312999999998</v>
      </c>
      <c r="R565" s="364">
        <f t="shared" si="63"/>
        <v>95.553600000000003</v>
      </c>
      <c r="S565" s="364">
        <f t="shared" si="63"/>
        <v>108.57899999999999</v>
      </c>
      <c r="T565" s="364">
        <f t="shared" si="63"/>
        <v>121.495</v>
      </c>
      <c r="U565" s="364">
        <f t="shared" si="63"/>
        <v>128.80530000000002</v>
      </c>
      <c r="V565" s="364">
        <f t="shared" si="63"/>
        <v>136.27047810000002</v>
      </c>
      <c r="W565" s="364">
        <f t="shared" si="63"/>
        <v>153.38499999999999</v>
      </c>
      <c r="X565" s="364"/>
      <c r="Y565" s="364"/>
      <c r="Z565" s="364"/>
      <c r="AA565" s="364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</row>
    <row r="566" spans="9:39" s="10" customFormat="1" hidden="1">
      <c r="I566" s="245" t="s">
        <v>21</v>
      </c>
      <c r="J566" s="134">
        <f>SUM(J563:J565)</f>
        <v>43.048000000000002</v>
      </c>
      <c r="K566" s="134">
        <f>SUM(K563:K565)</f>
        <v>56.198</v>
      </c>
      <c r="L566" s="134">
        <f>SUM(L563:L565)</f>
        <v>72.517600000000002</v>
      </c>
      <c r="M566" s="134">
        <f t="shared" ref="M566:R566" si="64">SUM(M563:M565)</f>
        <v>84.149100000000004</v>
      </c>
      <c r="N566" s="134">
        <f t="shared" si="64"/>
        <v>84.548000000000002</v>
      </c>
      <c r="O566" s="134">
        <f t="shared" si="64"/>
        <v>108.68202611999999</v>
      </c>
      <c r="P566" s="133">
        <f t="shared" si="64"/>
        <v>105.46209999999999</v>
      </c>
      <c r="Q566" s="133">
        <f t="shared" si="64"/>
        <v>132.38199306999999</v>
      </c>
      <c r="R566" s="191">
        <f t="shared" si="64"/>
        <v>144.96087699999998</v>
      </c>
      <c r="S566" s="191">
        <f>S376/$X$568</f>
        <v>181.32900000000001</v>
      </c>
      <c r="T566" s="364">
        <f>SUM(T563:T565)</f>
        <v>162.06666999999999</v>
      </c>
      <c r="U566" s="364">
        <f>SUM(U563:U565)</f>
        <v>208.11544063000002</v>
      </c>
      <c r="V566" s="364">
        <f>SUM(V563:V565)</f>
        <v>239.10857810000002</v>
      </c>
      <c r="W566" s="364">
        <f>SUM(W563:W565)</f>
        <v>262.13799999999998</v>
      </c>
      <c r="X566" s="364"/>
      <c r="Y566" s="364"/>
      <c r="Z566" s="364"/>
      <c r="AA566" s="364"/>
      <c r="AB566" s="3"/>
      <c r="AC566" s="3"/>
      <c r="AD566" s="3"/>
      <c r="AE566" s="3"/>
      <c r="AF566" s="3"/>
      <c r="AG566" s="3"/>
      <c r="AH566" s="3"/>
      <c r="AI566" s="3"/>
      <c r="AJ566" s="3"/>
    </row>
    <row r="567" spans="9:39" s="10" customFormat="1" hidden="1">
      <c r="J567" s="174"/>
      <c r="K567" s="174"/>
      <c r="L567" s="174"/>
      <c r="M567" s="174"/>
      <c r="N567" s="174"/>
      <c r="O567" s="235"/>
      <c r="P567" s="235"/>
      <c r="Q567" s="235"/>
      <c r="R567" s="235"/>
      <c r="S567" s="235"/>
      <c r="T567" s="235"/>
      <c r="U567" s="174"/>
      <c r="V567" s="174"/>
      <c r="W567" s="174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</row>
    <row r="568" spans="9:39" s="10" customFormat="1" hidden="1">
      <c r="I568" s="245" t="s">
        <v>449</v>
      </c>
      <c r="J568" s="190"/>
      <c r="K568" s="190"/>
      <c r="L568" s="190"/>
      <c r="M568" s="190"/>
      <c r="N568" s="190"/>
      <c r="O568" s="190"/>
      <c r="P568" s="190"/>
      <c r="Q568" s="190"/>
      <c r="R568" s="190"/>
      <c r="S568" s="190"/>
      <c r="T568" s="233"/>
      <c r="U568" s="233"/>
      <c r="V568" s="173"/>
      <c r="W568" s="173"/>
      <c r="X568" s="98">
        <v>1000</v>
      </c>
    </row>
    <row r="569" spans="9:39" s="10" customFormat="1" hidden="1">
      <c r="J569" s="257">
        <v>2008</v>
      </c>
      <c r="K569" s="257">
        <v>2009</v>
      </c>
      <c r="L569" s="257">
        <v>2010</v>
      </c>
      <c r="M569" s="257">
        <v>2011</v>
      </c>
      <c r="N569" s="257">
        <v>2012</v>
      </c>
      <c r="O569" s="190"/>
      <c r="P569" s="190"/>
      <c r="Q569" s="190"/>
      <c r="R569" s="190"/>
      <c r="S569" s="234"/>
      <c r="T569" s="234"/>
      <c r="U569" s="173"/>
      <c r="V569" s="173"/>
    </row>
    <row r="570" spans="9:39" s="10" customFormat="1" ht="12.75" hidden="1" customHeight="1">
      <c r="I570" s="71" t="s">
        <v>68</v>
      </c>
      <c r="J570" s="160"/>
      <c r="K570" s="160"/>
      <c r="L570" s="160"/>
      <c r="M570" s="160"/>
      <c r="N570" s="160"/>
      <c r="O570" s="160"/>
      <c r="P570" s="65"/>
      <c r="Q570" s="98"/>
      <c r="R570" s="178"/>
      <c r="U570" s="174"/>
      <c r="V570" s="174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</row>
    <row r="571" spans="9:39" s="10" customFormat="1" ht="12.75" hidden="1" customHeight="1">
      <c r="I571" s="59"/>
      <c r="J571" s="151" t="s">
        <v>3</v>
      </c>
      <c r="K571" s="151" t="s">
        <v>0</v>
      </c>
      <c r="L571" s="151" t="s">
        <v>1</v>
      </c>
      <c r="M571" s="151" t="s">
        <v>22</v>
      </c>
      <c r="N571" s="151" t="s">
        <v>22</v>
      </c>
      <c r="O571" s="151" t="s">
        <v>44</v>
      </c>
      <c r="P571" s="148" t="s">
        <v>55</v>
      </c>
      <c r="Q571" s="98"/>
      <c r="R571" s="178"/>
      <c r="S571" s="178"/>
      <c r="T571" s="174"/>
      <c r="U571" s="174"/>
      <c r="V571" s="174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</row>
    <row r="572" spans="9:39" s="10" customFormat="1" ht="12.75" hidden="1" customHeight="1">
      <c r="I572" s="61" t="s">
        <v>26</v>
      </c>
      <c r="J572" s="72">
        <v>3199345.6</v>
      </c>
      <c r="K572" s="72">
        <v>6177733.7799999993</v>
      </c>
      <c r="L572" s="72">
        <v>11555435.34</v>
      </c>
      <c r="M572" s="72">
        <v>29109122.619999997</v>
      </c>
      <c r="N572" s="72">
        <v>29109122.619999997</v>
      </c>
      <c r="O572" s="72">
        <v>43833819</v>
      </c>
      <c r="P572" s="72">
        <v>48995078</v>
      </c>
      <c r="Q572" s="98"/>
      <c r="R572" s="178"/>
      <c r="S572" s="178"/>
      <c r="T572" s="174"/>
      <c r="U572" s="174"/>
      <c r="V572" s="174"/>
      <c r="W572" s="3"/>
      <c r="X572" s="3"/>
      <c r="Y572" s="3"/>
      <c r="Z572" s="3"/>
      <c r="AA572" s="3"/>
      <c r="AB572" s="3"/>
      <c r="AC572" s="3"/>
      <c r="AD572" s="3"/>
      <c r="AE572" s="7"/>
      <c r="AF572" s="3"/>
      <c r="AG572" s="3"/>
      <c r="AH572" s="3"/>
      <c r="AI572" s="3"/>
    </row>
    <row r="573" spans="9:39" s="10" customFormat="1" ht="12.75" hidden="1" customHeight="1">
      <c r="I573" s="59" t="s">
        <v>27</v>
      </c>
      <c r="J573" s="72">
        <v>739071.55</v>
      </c>
      <c r="K573" s="72">
        <v>1211336.8</v>
      </c>
      <c r="L573" s="72">
        <v>2183802.2400000002</v>
      </c>
      <c r="M573" s="72">
        <v>3046700.84</v>
      </c>
      <c r="N573" s="72">
        <v>3046700.84</v>
      </c>
      <c r="O573" s="72">
        <v>3655808</v>
      </c>
      <c r="P573" s="72">
        <v>3655808</v>
      </c>
      <c r="Q573" s="98"/>
      <c r="R573" s="178"/>
      <c r="S573" s="178"/>
      <c r="T573" s="174"/>
      <c r="U573" s="174"/>
      <c r="V573" s="174"/>
      <c r="W573" s="3"/>
      <c r="X573" s="3"/>
      <c r="Y573" s="3"/>
      <c r="Z573" s="3"/>
      <c r="AA573" s="3"/>
      <c r="AB573" s="3"/>
      <c r="AC573" s="3"/>
      <c r="AD573" s="3"/>
      <c r="AE573" s="7"/>
      <c r="AF573" s="3"/>
      <c r="AG573" s="3"/>
      <c r="AH573" s="3"/>
      <c r="AI573" s="3"/>
    </row>
    <row r="574" spans="9:39" s="10" customFormat="1" hidden="1">
      <c r="I574" s="59" t="s">
        <v>28</v>
      </c>
      <c r="J574" s="72">
        <v>2386407.04</v>
      </c>
      <c r="K574" s="72">
        <v>2841634.39</v>
      </c>
      <c r="L574" s="72">
        <v>3982788.54</v>
      </c>
      <c r="M574" s="72">
        <v>7004902.1691129999</v>
      </c>
      <c r="N574" s="72">
        <v>7004902.1691129999</v>
      </c>
      <c r="O574" s="72">
        <v>10686339.27</v>
      </c>
      <c r="P574" s="72">
        <v>10740753</v>
      </c>
      <c r="Q574" s="98"/>
      <c r="R574" s="178"/>
      <c r="S574" s="178"/>
      <c r="T574" s="174"/>
      <c r="U574" s="174"/>
      <c r="V574" s="174"/>
      <c r="W574" s="3"/>
      <c r="X574" s="3"/>
      <c r="Y574" s="3"/>
      <c r="Z574" s="3"/>
      <c r="AA574" s="3"/>
      <c r="AB574" s="3"/>
      <c r="AC574" s="3"/>
      <c r="AD574" s="3"/>
      <c r="AE574" s="7"/>
      <c r="AF574" s="3"/>
      <c r="AG574" s="3"/>
      <c r="AH574" s="3"/>
      <c r="AI574" s="3"/>
    </row>
    <row r="575" spans="9:39" s="10" customFormat="1" hidden="1">
      <c r="I575" s="59" t="s">
        <v>29</v>
      </c>
      <c r="J575" s="72">
        <v>217175.81</v>
      </c>
      <c r="K575" s="72">
        <v>4000</v>
      </c>
      <c r="L575" s="72">
        <v>773227.35</v>
      </c>
      <c r="M575" s="72">
        <v>1525315.03</v>
      </c>
      <c r="N575" s="72">
        <v>1525315.03</v>
      </c>
      <c r="O575" s="72">
        <v>1278273</v>
      </c>
      <c r="P575" s="72">
        <v>1278273</v>
      </c>
      <c r="Q575" s="98"/>
      <c r="R575" s="178"/>
      <c r="S575" s="178"/>
      <c r="T575" s="174"/>
      <c r="U575" s="174"/>
      <c r="V575" s="174"/>
      <c r="W575" s="3"/>
      <c r="X575" s="3"/>
      <c r="Y575" s="3"/>
      <c r="Z575" s="3"/>
      <c r="AA575" s="3"/>
      <c r="AB575" s="3"/>
      <c r="AC575" s="3"/>
      <c r="AD575" s="3"/>
      <c r="AE575" s="7"/>
      <c r="AF575" s="3"/>
      <c r="AG575" s="3"/>
      <c r="AH575" s="3"/>
      <c r="AI575" s="3"/>
    </row>
    <row r="576" spans="9:39" s="10" customFormat="1" hidden="1">
      <c r="I576" s="59"/>
      <c r="J576" s="133">
        <v>6542000</v>
      </c>
      <c r="K576" s="133">
        <v>10234704.969999999</v>
      </c>
      <c r="L576" s="133">
        <v>18495253.470000003</v>
      </c>
      <c r="M576" s="133">
        <v>40686040.659112997</v>
      </c>
      <c r="N576" s="133">
        <v>40686040.659112997</v>
      </c>
      <c r="O576" s="133">
        <v>59454239.269999996</v>
      </c>
      <c r="P576" s="133">
        <v>64669912</v>
      </c>
      <c r="Q576" s="98"/>
      <c r="R576" s="178"/>
      <c r="S576" s="178"/>
      <c r="T576" s="174"/>
      <c r="U576" s="174"/>
      <c r="V576" s="174"/>
      <c r="W576" s="3"/>
      <c r="X576" s="3"/>
      <c r="Y576" s="3"/>
      <c r="Z576" s="3"/>
      <c r="AA576" s="3"/>
      <c r="AB576" s="3"/>
      <c r="AC576" s="3"/>
      <c r="AD576" s="3"/>
      <c r="AE576" s="7"/>
      <c r="AF576" s="3"/>
      <c r="AG576" s="3"/>
      <c r="AH576" s="3"/>
      <c r="AI576" s="3"/>
    </row>
    <row r="577" spans="1:35" s="10" customFormat="1" hidden="1">
      <c r="I577" s="59" t="s">
        <v>30</v>
      </c>
      <c r="J577" s="72">
        <v>9758000</v>
      </c>
      <c r="K577" s="72">
        <v>10054682.719999999</v>
      </c>
      <c r="L577" s="72">
        <v>3516348.02</v>
      </c>
      <c r="M577" s="72">
        <v>5414745.25</v>
      </c>
      <c r="N577" s="72">
        <v>5414745.25</v>
      </c>
      <c r="O577" s="72">
        <v>6448600</v>
      </c>
      <c r="P577" s="72">
        <v>3000000</v>
      </c>
      <c r="Q577" s="98"/>
      <c r="R577" s="178"/>
      <c r="S577" s="178"/>
      <c r="T577" s="174"/>
      <c r="U577" s="174"/>
      <c r="V577" s="174"/>
      <c r="W577" s="3"/>
      <c r="X577" s="3"/>
      <c r="Y577" s="3"/>
      <c r="Z577" s="3"/>
      <c r="AA577" s="3"/>
      <c r="AB577" s="3"/>
      <c r="AC577" s="3"/>
      <c r="AD577" s="3"/>
      <c r="AE577" s="7"/>
      <c r="AF577" s="3"/>
      <c r="AG577" s="3"/>
      <c r="AH577" s="3"/>
      <c r="AI577" s="3"/>
    </row>
    <row r="578" spans="1:35" s="10" customFormat="1" hidden="1">
      <c r="I578" s="59" t="s">
        <v>31</v>
      </c>
      <c r="J578" s="72">
        <v>1100000</v>
      </c>
      <c r="K578" s="72">
        <v>5810679.3300000001</v>
      </c>
      <c r="L578" s="72">
        <v>6300152.9800000004</v>
      </c>
      <c r="M578" s="72">
        <v>3280221.93</v>
      </c>
      <c r="N578" s="72">
        <v>3280221.93</v>
      </c>
      <c r="O578" s="72">
        <v>3213737.48</v>
      </c>
      <c r="P578" s="72">
        <v>0</v>
      </c>
      <c r="Q578" s="174"/>
      <c r="R578" s="178"/>
      <c r="S578" s="178"/>
      <c r="T578" s="174"/>
      <c r="U578" s="174"/>
      <c r="V578" s="174"/>
      <c r="W578" s="3"/>
      <c r="X578" s="3"/>
      <c r="Y578" s="3"/>
      <c r="Z578" s="3"/>
      <c r="AA578" s="3"/>
      <c r="AB578" s="3"/>
      <c r="AC578" s="3"/>
      <c r="AD578" s="3"/>
      <c r="AE578" s="7"/>
      <c r="AF578" s="3"/>
      <c r="AG578" s="3"/>
      <c r="AH578" s="3"/>
      <c r="AI578" s="3"/>
    </row>
    <row r="579" spans="1:35" s="10" customFormat="1" hidden="1">
      <c r="I579" s="59"/>
      <c r="J579" s="72">
        <v>10858000</v>
      </c>
      <c r="K579" s="72">
        <v>15865362.049999999</v>
      </c>
      <c r="L579" s="72">
        <v>9816501</v>
      </c>
      <c r="M579" s="72">
        <v>8694967.1799999997</v>
      </c>
      <c r="N579" s="72">
        <v>8694967.1799999997</v>
      </c>
      <c r="O579" s="72">
        <v>9662337.4800000004</v>
      </c>
      <c r="P579" s="72">
        <v>3000000</v>
      </c>
      <c r="Q579" s="174"/>
      <c r="R579" s="178"/>
      <c r="S579" s="178"/>
      <c r="T579" s="174"/>
      <c r="U579" s="174"/>
      <c r="V579" s="174"/>
      <c r="W579" s="3"/>
      <c r="X579" s="3"/>
      <c r="Y579" s="3"/>
      <c r="Z579" s="3"/>
      <c r="AA579" s="3"/>
      <c r="AB579" s="3"/>
      <c r="AC579" s="3"/>
      <c r="AD579" s="3"/>
      <c r="AE579" s="7"/>
      <c r="AF579" s="3"/>
      <c r="AG579" s="3"/>
      <c r="AH579" s="3"/>
      <c r="AI579" s="3"/>
    </row>
    <row r="580" spans="1:35" s="10" customFormat="1" hidden="1">
      <c r="I580" s="59"/>
      <c r="J580" s="63"/>
      <c r="K580" s="63"/>
      <c r="L580" s="63"/>
      <c r="M580" s="63"/>
      <c r="N580" s="63"/>
      <c r="O580" s="72"/>
      <c r="P580" s="72"/>
      <c r="Q580" s="174"/>
      <c r="R580" s="178"/>
      <c r="S580" s="178"/>
      <c r="T580" s="174"/>
      <c r="U580" s="174"/>
      <c r="V580" s="174"/>
      <c r="W580" s="3"/>
      <c r="X580" s="3"/>
      <c r="Y580" s="3"/>
      <c r="Z580" s="3"/>
      <c r="AA580" s="3"/>
      <c r="AB580" s="3"/>
      <c r="AC580" s="3"/>
      <c r="AD580" s="3"/>
      <c r="AE580" s="7"/>
      <c r="AF580" s="3"/>
      <c r="AG580" s="3"/>
      <c r="AH580" s="3"/>
      <c r="AI580" s="3"/>
    </row>
    <row r="581" spans="1:35" s="10" customFormat="1" hidden="1">
      <c r="I581" s="59" t="s">
        <v>32</v>
      </c>
      <c r="J581" s="72">
        <v>17400000</v>
      </c>
      <c r="K581" s="72">
        <v>26100067.019999996</v>
      </c>
      <c r="L581" s="72">
        <v>28311754.470000003</v>
      </c>
      <c r="M581" s="72">
        <v>49381007.839112997</v>
      </c>
      <c r="N581" s="72">
        <v>49381007.839112997</v>
      </c>
      <c r="O581" s="72">
        <v>69116576.75</v>
      </c>
      <c r="P581" s="72">
        <v>67669912</v>
      </c>
      <c r="Q581" s="174"/>
      <c r="R581" s="178"/>
      <c r="S581" s="178"/>
      <c r="T581" s="174"/>
      <c r="U581" s="174"/>
      <c r="V581" s="174"/>
      <c r="W581" s="3"/>
      <c r="X581" s="3"/>
      <c r="Y581" s="3"/>
      <c r="Z581" s="3"/>
      <c r="AA581" s="3"/>
      <c r="AB581" s="3"/>
      <c r="AC581" s="3"/>
      <c r="AD581" s="3"/>
      <c r="AE581" s="7"/>
      <c r="AF581" s="3"/>
      <c r="AG581" s="3"/>
      <c r="AH581" s="3"/>
      <c r="AI581" s="3"/>
    </row>
    <row r="582" spans="1:35" s="10" customFormat="1">
      <c r="I582" s="13"/>
      <c r="J582" s="178"/>
      <c r="K582" s="178"/>
      <c r="L582" s="178"/>
      <c r="M582" s="178"/>
      <c r="N582" s="178"/>
      <c r="O582" s="178"/>
      <c r="P582" s="98"/>
      <c r="Q582" s="98"/>
      <c r="R582" s="178"/>
      <c r="S582" s="178"/>
      <c r="T582" s="174"/>
      <c r="U582" s="174"/>
      <c r="V582" s="174"/>
      <c r="W582" s="3"/>
      <c r="X582" s="3"/>
      <c r="Y582" s="3"/>
      <c r="Z582" s="3"/>
      <c r="AA582" s="3"/>
      <c r="AB582" s="3"/>
      <c r="AC582" s="3"/>
      <c r="AD582" s="3"/>
      <c r="AE582" s="7"/>
      <c r="AF582" s="3"/>
      <c r="AG582" s="3"/>
      <c r="AH582" s="3"/>
      <c r="AI582" s="3"/>
    </row>
    <row r="583" spans="1:35" s="10" customFormat="1">
      <c r="A583" s="62"/>
      <c r="B583" s="62"/>
      <c r="C583" s="62"/>
      <c r="D583" s="62"/>
      <c r="E583" s="62"/>
      <c r="F583" s="62"/>
      <c r="G583" s="62"/>
      <c r="H583" s="62"/>
      <c r="I583" s="71" t="s">
        <v>69</v>
      </c>
      <c r="J583" s="160"/>
      <c r="K583" s="160"/>
      <c r="L583" s="160"/>
      <c r="M583" s="160"/>
      <c r="N583" s="160"/>
      <c r="O583" s="160"/>
      <c r="P583" s="65">
        <v>1000</v>
      </c>
      <c r="Q583" s="65"/>
      <c r="R583" s="63"/>
      <c r="S583" s="63"/>
      <c r="T583" s="72"/>
      <c r="U583" s="72"/>
      <c r="V583" s="174"/>
      <c r="W583" s="3"/>
      <c r="X583" s="3"/>
      <c r="Y583" s="3"/>
      <c r="Z583" s="3"/>
      <c r="AA583" s="3"/>
      <c r="AB583" s="3"/>
      <c r="AC583" s="3"/>
      <c r="AD583" s="3"/>
      <c r="AE583" s="7"/>
      <c r="AF583" s="3"/>
      <c r="AG583" s="3"/>
      <c r="AH583" s="3"/>
      <c r="AI583" s="3"/>
    </row>
    <row r="584" spans="1:35" s="10" customFormat="1">
      <c r="A584" s="62"/>
      <c r="B584" s="62"/>
      <c r="C584" s="62"/>
      <c r="D584" s="62"/>
      <c r="E584" s="62"/>
      <c r="F584" s="62"/>
      <c r="G584" s="62"/>
      <c r="H584" s="62"/>
      <c r="I584" s="59"/>
      <c r="J584" s="151" t="s">
        <v>3</v>
      </c>
      <c r="K584" s="151" t="s">
        <v>0</v>
      </c>
      <c r="L584" s="151" t="s">
        <v>1</v>
      </c>
      <c r="M584" s="151" t="s">
        <v>22</v>
      </c>
      <c r="N584" s="151" t="s">
        <v>22</v>
      </c>
      <c r="O584" s="151" t="s">
        <v>44</v>
      </c>
      <c r="P584" s="148" t="s">
        <v>55</v>
      </c>
      <c r="Q584" s="148" t="s">
        <v>70</v>
      </c>
      <c r="R584" s="148" t="s">
        <v>72</v>
      </c>
      <c r="S584" s="148" t="s">
        <v>82</v>
      </c>
      <c r="T584" s="148">
        <v>2006</v>
      </c>
      <c r="U584" s="148">
        <v>2007</v>
      </c>
      <c r="V584" s="148"/>
      <c r="W584" s="148"/>
      <c r="X584" s="148"/>
      <c r="Y584" s="175"/>
      <c r="AA584"/>
      <c r="AB584" s="3"/>
      <c r="AC584" s="3"/>
      <c r="AD584" s="3"/>
      <c r="AE584" s="7"/>
      <c r="AF584" s="3"/>
      <c r="AG584" s="3"/>
      <c r="AH584" s="3"/>
      <c r="AI584" s="3"/>
    </row>
    <row r="585" spans="1:35" s="10" customFormat="1">
      <c r="A585" s="62">
        <v>1000</v>
      </c>
      <c r="B585" s="62"/>
      <c r="C585" s="62"/>
      <c r="D585" s="62"/>
      <c r="E585" s="62"/>
      <c r="F585" s="62"/>
      <c r="G585" s="62"/>
      <c r="H585" s="62"/>
      <c r="I585" s="61" t="s">
        <v>49</v>
      </c>
      <c r="J585" s="72">
        <f>J572/$P$583</f>
        <v>3199.3456000000001</v>
      </c>
      <c r="K585" s="72">
        <v>6060</v>
      </c>
      <c r="L585" s="72">
        <v>11170.8</v>
      </c>
      <c r="M585" s="72">
        <v>28641.5</v>
      </c>
      <c r="N585" s="72">
        <v>28641.5</v>
      </c>
      <c r="O585" s="72">
        <v>43833.8</v>
      </c>
      <c r="P585" s="72">
        <v>48995.1</v>
      </c>
      <c r="Q585" s="72">
        <v>58895.21</v>
      </c>
      <c r="R585" s="72">
        <v>63797.2</v>
      </c>
      <c r="S585" s="72">
        <v>66925.604000000007</v>
      </c>
      <c r="T585" s="72">
        <v>73556.220629999996</v>
      </c>
      <c r="U585" s="168">
        <v>74490.5</v>
      </c>
      <c r="V585" s="204"/>
      <c r="W585" s="230"/>
      <c r="X585" s="230"/>
      <c r="Y585" s="205"/>
      <c r="AA585" s="2"/>
      <c r="AB585" s="3"/>
      <c r="AC585" s="3"/>
      <c r="AD585" s="3"/>
      <c r="AE585" s="7"/>
      <c r="AF585" s="3"/>
      <c r="AG585" s="3"/>
      <c r="AH585" s="3"/>
      <c r="AI585" s="3"/>
    </row>
    <row r="586" spans="1:35" s="10" customFormat="1">
      <c r="A586" s="62">
        <v>2000</v>
      </c>
      <c r="B586" s="62"/>
      <c r="C586" s="62"/>
      <c r="D586" s="62"/>
      <c r="E586" s="62"/>
      <c r="F586" s="62"/>
      <c r="G586" s="62"/>
      <c r="H586" s="62"/>
      <c r="I586" s="59" t="s">
        <v>50</v>
      </c>
      <c r="J586" s="72">
        <f>J573/$P$583</f>
        <v>739.07155</v>
      </c>
      <c r="K586" s="72">
        <v>1211</v>
      </c>
      <c r="L586" s="72">
        <v>1363.7</v>
      </c>
      <c r="M586" s="72">
        <v>3023.3</v>
      </c>
      <c r="N586" s="72">
        <v>3023.3</v>
      </c>
      <c r="O586" s="72">
        <v>3655.8</v>
      </c>
      <c r="P586" s="72">
        <v>3655.8</v>
      </c>
      <c r="Q586" s="72">
        <v>4655.78</v>
      </c>
      <c r="R586" s="72">
        <v>3972.9</v>
      </c>
      <c r="S586" s="72">
        <v>3925.9859999999999</v>
      </c>
      <c r="T586" s="168">
        <v>4499.0640000000003</v>
      </c>
      <c r="U586" s="168">
        <v>4499</v>
      </c>
      <c r="V586" s="204"/>
      <c r="W586" s="230"/>
      <c r="X586" s="230"/>
      <c r="Y586" s="205"/>
      <c r="AB586" s="3"/>
      <c r="AC586" s="3"/>
      <c r="AD586" s="3"/>
      <c r="AE586" s="7"/>
      <c r="AF586" s="3"/>
      <c r="AG586" s="3"/>
      <c r="AH586" s="3"/>
      <c r="AI586" s="3"/>
    </row>
    <row r="587" spans="1:35" s="10" customFormat="1">
      <c r="A587" s="62">
        <v>3000</v>
      </c>
      <c r="B587" s="62"/>
      <c r="C587" s="62"/>
      <c r="D587" s="62"/>
      <c r="E587" s="62"/>
      <c r="F587" s="62"/>
      <c r="G587" s="62"/>
      <c r="H587" s="62"/>
      <c r="I587" s="59" t="s">
        <v>51</v>
      </c>
      <c r="J587" s="72">
        <f>J574/$P$583</f>
        <v>2386.4070400000001</v>
      </c>
      <c r="K587" s="72">
        <v>2960</v>
      </c>
      <c r="L587" s="72">
        <v>3881.7</v>
      </c>
      <c r="M587" s="72">
        <v>7300.8</v>
      </c>
      <c r="N587" s="72">
        <v>7300.8</v>
      </c>
      <c r="O587" s="72">
        <v>10686.3</v>
      </c>
      <c r="P587" s="72">
        <v>10740.8</v>
      </c>
      <c r="Q587" s="72">
        <v>13740.72</v>
      </c>
      <c r="R587" s="72">
        <v>13456.4</v>
      </c>
      <c r="S587" s="72">
        <v>15734.402</v>
      </c>
      <c r="T587" s="168">
        <v>15634.4</v>
      </c>
      <c r="U587" s="168">
        <v>17438.8</v>
      </c>
      <c r="V587" s="204"/>
      <c r="W587" s="230"/>
      <c r="X587" s="230"/>
      <c r="Y587" s="205"/>
      <c r="AA587" s="3"/>
      <c r="AB587" s="3"/>
      <c r="AC587" s="3"/>
      <c r="AD587" s="3"/>
      <c r="AE587" s="7"/>
      <c r="AF587" s="3"/>
      <c r="AG587" s="3"/>
      <c r="AH587" s="3"/>
      <c r="AI587" s="3"/>
    </row>
    <row r="588" spans="1:35" s="10" customFormat="1">
      <c r="A588" s="62">
        <v>4000</v>
      </c>
      <c r="B588" s="62"/>
      <c r="C588" s="62"/>
      <c r="D588" s="62"/>
      <c r="E588" s="62"/>
      <c r="F588" s="62"/>
      <c r="G588" s="62"/>
      <c r="H588" s="62"/>
      <c r="I588" s="59" t="s">
        <v>52</v>
      </c>
      <c r="J588" s="72">
        <f>J575/$P$583</f>
        <v>217.17580999999998</v>
      </c>
      <c r="K588" s="72">
        <v>4</v>
      </c>
      <c r="L588" s="72">
        <v>773.2</v>
      </c>
      <c r="M588" s="72">
        <v>1528.1</v>
      </c>
      <c r="N588" s="72">
        <v>1528.1</v>
      </c>
      <c r="O588" s="72">
        <v>1278.2</v>
      </c>
      <c r="P588" s="72">
        <v>1278.2</v>
      </c>
      <c r="Q588" s="72">
        <v>1278.27</v>
      </c>
      <c r="R588" s="72">
        <v>975.3</v>
      </c>
      <c r="S588" s="72">
        <v>975.32100000000003</v>
      </c>
      <c r="T588" s="168">
        <v>975.3</v>
      </c>
      <c r="U588" s="168">
        <v>975.3</v>
      </c>
      <c r="V588" s="204"/>
      <c r="W588" s="230"/>
      <c r="X588" s="230"/>
      <c r="Y588" s="205"/>
      <c r="AA588" s="3"/>
      <c r="AB588" s="3"/>
      <c r="AC588" s="3"/>
      <c r="AD588" s="3"/>
      <c r="AE588" s="7"/>
      <c r="AF588" s="3"/>
      <c r="AG588" s="3"/>
      <c r="AH588" s="3"/>
      <c r="AI588" s="3"/>
    </row>
    <row r="589" spans="1:35" s="10" customFormat="1">
      <c r="A589" s="62">
        <v>5000</v>
      </c>
      <c r="B589" s="62"/>
      <c r="C589" s="62"/>
      <c r="D589" s="62"/>
      <c r="E589" s="62"/>
      <c r="F589" s="62"/>
      <c r="G589" s="62"/>
      <c r="H589" s="62"/>
      <c r="I589" s="59" t="s">
        <v>53</v>
      </c>
      <c r="J589" s="72">
        <f>J577/$P$583</f>
        <v>9758</v>
      </c>
      <c r="K589" s="72">
        <v>9854</v>
      </c>
      <c r="L589" s="64">
        <v>3299.3</v>
      </c>
      <c r="M589" s="72">
        <v>4000.1</v>
      </c>
      <c r="N589" s="72">
        <v>4000.1</v>
      </c>
      <c r="O589" s="72">
        <v>6448.6</v>
      </c>
      <c r="P589" s="72">
        <v>3000</v>
      </c>
      <c r="Q589" s="72">
        <v>4640.6000000000004</v>
      </c>
      <c r="R589" s="72">
        <v>1600</v>
      </c>
      <c r="S589" s="72">
        <v>750</v>
      </c>
      <c r="T589" s="168">
        <v>833.33299999999997</v>
      </c>
      <c r="U589" s="168">
        <v>8220</v>
      </c>
      <c r="V589" s="204"/>
      <c r="W589" s="230"/>
      <c r="X589" s="230"/>
      <c r="Y589" s="205"/>
      <c r="AA589" s="3"/>
      <c r="AB589" s="3"/>
      <c r="AC589" s="3"/>
      <c r="AD589" s="3"/>
      <c r="AE589" s="7"/>
      <c r="AF589" s="3"/>
      <c r="AG589" s="3"/>
      <c r="AH589" s="3"/>
      <c r="AI589" s="3"/>
    </row>
    <row r="590" spans="1:35" s="10" customFormat="1">
      <c r="A590" s="62">
        <v>6000</v>
      </c>
      <c r="B590" s="62"/>
      <c r="C590" s="62"/>
      <c r="D590" s="62"/>
      <c r="E590" s="62"/>
      <c r="F590" s="62"/>
      <c r="G590" s="62"/>
      <c r="H590" s="62"/>
      <c r="I590" s="59" t="s">
        <v>54</v>
      </c>
      <c r="J590" s="72">
        <f>J578/$P$583</f>
        <v>1100</v>
      </c>
      <c r="K590" s="72">
        <v>5000</v>
      </c>
      <c r="L590" s="72">
        <v>3000.2</v>
      </c>
      <c r="M590" s="72">
        <v>3280.7</v>
      </c>
      <c r="N590" s="72">
        <v>3280.7</v>
      </c>
      <c r="O590" s="72">
        <v>3213.7</v>
      </c>
      <c r="P590" s="72">
        <v>0</v>
      </c>
      <c r="Q590" s="72">
        <v>4500</v>
      </c>
      <c r="R590" s="72">
        <v>500</v>
      </c>
      <c r="S590" s="72">
        <v>0</v>
      </c>
      <c r="T590" s="168">
        <v>0</v>
      </c>
      <c r="U590" s="168">
        <v>2846.1</v>
      </c>
      <c r="V590" s="204"/>
      <c r="W590" s="230"/>
      <c r="X590" s="230"/>
      <c r="Y590" s="205"/>
      <c r="Z590" s="3"/>
      <c r="AA590" s="3"/>
      <c r="AB590" s="3"/>
      <c r="AC590" s="3"/>
      <c r="AD590" s="3"/>
      <c r="AE590" s="7"/>
      <c r="AF590" s="3"/>
      <c r="AG590" s="3"/>
      <c r="AH590" s="3"/>
      <c r="AI590" s="3"/>
    </row>
    <row r="591" spans="1:35" s="10" customFormat="1">
      <c r="A591" s="62"/>
      <c r="B591" s="62"/>
      <c r="C591" s="62"/>
      <c r="D591" s="62"/>
      <c r="E591" s="62"/>
      <c r="F591" s="62"/>
      <c r="G591" s="62"/>
      <c r="H591" s="62"/>
      <c r="I591" s="59" t="s">
        <v>48</v>
      </c>
      <c r="J591" s="72">
        <f t="shared" ref="J591:T591" si="65">SUM(J585:J590)</f>
        <v>17400</v>
      </c>
      <c r="K591" s="72">
        <f t="shared" si="65"/>
        <v>25089</v>
      </c>
      <c r="L591" s="72">
        <f>SUM(L585:L590)</f>
        <v>23488.9</v>
      </c>
      <c r="M591" s="72">
        <f t="shared" si="65"/>
        <v>47774.499999999993</v>
      </c>
      <c r="N591" s="72">
        <f t="shared" ref="N591" si="66">SUM(N585:N590)</f>
        <v>47774.499999999993</v>
      </c>
      <c r="O591" s="72">
        <f t="shared" si="65"/>
        <v>69116.400000000009</v>
      </c>
      <c r="P591" s="72">
        <f t="shared" si="65"/>
        <v>67669.899999999994</v>
      </c>
      <c r="Q591" s="72">
        <f t="shared" si="65"/>
        <v>87710.58</v>
      </c>
      <c r="R591" s="72">
        <f t="shared" si="65"/>
        <v>84301.799999999988</v>
      </c>
      <c r="S591" s="72">
        <f t="shared" si="65"/>
        <v>88311.313000000009</v>
      </c>
      <c r="T591" s="157">
        <f t="shared" si="65"/>
        <v>95498.31762999999</v>
      </c>
      <c r="U591" s="157">
        <f>SUM(U585:U590)</f>
        <v>108469.70000000001</v>
      </c>
      <c r="V591" s="204"/>
      <c r="W591" s="230"/>
      <c r="X591" s="230"/>
      <c r="Y591" s="205"/>
      <c r="Z591" s="3"/>
      <c r="AA591" s="3"/>
      <c r="AB591" s="3"/>
      <c r="AC591" s="3"/>
      <c r="AD591" s="3"/>
      <c r="AE591" s="7"/>
      <c r="AF591" s="3"/>
      <c r="AG591" s="3"/>
      <c r="AH591" s="3"/>
      <c r="AI591" s="3"/>
    </row>
    <row r="592" spans="1:35" s="10" customFormat="1">
      <c r="I592" s="3"/>
      <c r="J592" s="174"/>
      <c r="K592" s="174"/>
      <c r="L592" s="174"/>
      <c r="M592" s="174"/>
      <c r="N592" s="174"/>
      <c r="O592" s="174"/>
      <c r="P592" s="174"/>
      <c r="Q592" s="174"/>
      <c r="R592" s="174"/>
      <c r="S592" s="174"/>
      <c r="T592" s="173"/>
      <c r="U592" s="203"/>
      <c r="V592" s="174"/>
      <c r="W592" s="3"/>
      <c r="X592" s="3"/>
      <c r="Y592" s="3"/>
      <c r="Z592" s="3"/>
      <c r="AA592" s="3"/>
      <c r="AB592" s="3"/>
      <c r="AC592" s="3"/>
      <c r="AD592" s="3"/>
      <c r="AE592" s="7"/>
      <c r="AF592" s="3"/>
      <c r="AG592" s="3"/>
      <c r="AH592" s="3"/>
      <c r="AI592" s="3"/>
    </row>
    <row r="593" spans="1:35" s="10" customFormat="1">
      <c r="I593" s="13" t="s">
        <v>335</v>
      </c>
      <c r="J593" s="174"/>
      <c r="K593" s="174"/>
      <c r="L593" s="174"/>
      <c r="M593" s="174"/>
      <c r="N593" s="174"/>
      <c r="O593" s="174"/>
      <c r="P593" s="174"/>
      <c r="Q593" s="174"/>
      <c r="R593" s="174"/>
      <c r="S593" s="174"/>
      <c r="T593" s="173"/>
      <c r="U593" s="174"/>
      <c r="V593" s="174"/>
      <c r="W593" s="3"/>
      <c r="X593" s="3"/>
      <c r="Y593" s="3"/>
      <c r="Z593" s="3"/>
      <c r="AA593" s="3"/>
      <c r="AB593" s="3"/>
      <c r="AC593" s="3"/>
      <c r="AD593" s="3"/>
      <c r="AE593" s="7"/>
      <c r="AF593" s="3"/>
      <c r="AG593" s="3"/>
      <c r="AH593" s="3"/>
      <c r="AI593" s="3"/>
    </row>
    <row r="594" spans="1:35" s="10" customFormat="1">
      <c r="J594" s="148" t="s">
        <v>3</v>
      </c>
      <c r="K594" s="148" t="s">
        <v>0</v>
      </c>
      <c r="L594" s="151" t="s">
        <v>1</v>
      </c>
      <c r="M594" s="148" t="s">
        <v>22</v>
      </c>
      <c r="N594" s="148" t="s">
        <v>22</v>
      </c>
      <c r="O594" s="151" t="s">
        <v>44</v>
      </c>
      <c r="P594" s="148" t="s">
        <v>55</v>
      </c>
      <c r="Q594" s="148" t="s">
        <v>70</v>
      </c>
      <c r="R594" s="148" t="s">
        <v>72</v>
      </c>
      <c r="S594" s="148" t="s">
        <v>82</v>
      </c>
      <c r="T594" s="148">
        <v>2006</v>
      </c>
      <c r="U594" s="148">
        <v>2007</v>
      </c>
      <c r="V594" s="175"/>
      <c r="X594"/>
      <c r="Y594"/>
      <c r="Z594"/>
      <c r="AA594"/>
      <c r="AB594" s="3"/>
      <c r="AC594" s="3"/>
      <c r="AD594" s="3"/>
      <c r="AE594" s="7"/>
      <c r="AF594" s="3"/>
      <c r="AG594" s="3"/>
      <c r="AH594" s="3"/>
      <c r="AI594" s="3"/>
    </row>
    <row r="595" spans="1:35" s="10" customFormat="1">
      <c r="A595" s="10">
        <v>1000</v>
      </c>
      <c r="I595" s="61" t="s">
        <v>49</v>
      </c>
      <c r="J595" s="99">
        <f t="shared" ref="J595:T595" si="67">J585/$P$583</f>
        <v>3.1993456</v>
      </c>
      <c r="K595" s="99">
        <f t="shared" si="67"/>
        <v>6.06</v>
      </c>
      <c r="L595" s="99">
        <f t="shared" si="67"/>
        <v>11.1708</v>
      </c>
      <c r="M595" s="99">
        <f t="shared" si="67"/>
        <v>28.641500000000001</v>
      </c>
      <c r="N595" s="99">
        <f t="shared" si="67"/>
        <v>28.641500000000001</v>
      </c>
      <c r="O595" s="99">
        <f t="shared" si="67"/>
        <v>43.833800000000004</v>
      </c>
      <c r="P595" s="99">
        <f t="shared" si="67"/>
        <v>48.995100000000001</v>
      </c>
      <c r="Q595" s="99">
        <f t="shared" si="67"/>
        <v>58.895209999999999</v>
      </c>
      <c r="R595" s="99">
        <f t="shared" si="67"/>
        <v>63.797199999999997</v>
      </c>
      <c r="S595" s="99">
        <f t="shared" si="67"/>
        <v>66.925604000000007</v>
      </c>
      <c r="T595" s="100">
        <f t="shared" si="67"/>
        <v>73.556220629999999</v>
      </c>
      <c r="U595" s="100">
        <f t="shared" ref="U595:U600" si="68">U585/$P$583</f>
        <v>74.490499999999997</v>
      </c>
      <c r="X595" s="2"/>
      <c r="Y595" s="2"/>
      <c r="Z595" s="2"/>
      <c r="AA595" s="2"/>
      <c r="AB595" s="3"/>
      <c r="AC595" s="3"/>
      <c r="AD595" s="3"/>
      <c r="AE595" s="7"/>
      <c r="AF595" s="3"/>
      <c r="AG595" s="3"/>
      <c r="AH595" s="3"/>
      <c r="AI595" s="3"/>
    </row>
    <row r="596" spans="1:35" s="10" customFormat="1">
      <c r="A596" s="10">
        <v>2000</v>
      </c>
      <c r="I596" s="59" t="s">
        <v>50</v>
      </c>
      <c r="J596" s="99">
        <f t="shared" ref="J596:T596" si="69">J586/$P$583</f>
        <v>0.73907155000000002</v>
      </c>
      <c r="K596" s="99">
        <f t="shared" si="69"/>
        <v>1.2110000000000001</v>
      </c>
      <c r="L596" s="99">
        <f t="shared" si="69"/>
        <v>1.3637000000000001</v>
      </c>
      <c r="M596" s="99">
        <f t="shared" si="69"/>
        <v>3.0233000000000003</v>
      </c>
      <c r="N596" s="99">
        <f t="shared" si="69"/>
        <v>3.0233000000000003</v>
      </c>
      <c r="O596" s="99">
        <f t="shared" si="69"/>
        <v>3.6558000000000002</v>
      </c>
      <c r="P596" s="99">
        <f t="shared" si="69"/>
        <v>3.6558000000000002</v>
      </c>
      <c r="Q596" s="99">
        <f t="shared" si="69"/>
        <v>4.65578</v>
      </c>
      <c r="R596" s="99">
        <f t="shared" si="69"/>
        <v>3.9729000000000001</v>
      </c>
      <c r="S596" s="99">
        <f t="shared" si="69"/>
        <v>3.925986</v>
      </c>
      <c r="T596" s="100">
        <f t="shared" si="69"/>
        <v>4.4990640000000006</v>
      </c>
      <c r="U596" s="100">
        <f t="shared" si="68"/>
        <v>4.4989999999999997</v>
      </c>
      <c r="AB596" s="3"/>
      <c r="AC596" s="3"/>
      <c r="AD596" s="3"/>
      <c r="AE596" s="7"/>
      <c r="AF596" s="3"/>
      <c r="AG596" s="3"/>
      <c r="AH596" s="3"/>
      <c r="AI596" s="3"/>
    </row>
    <row r="597" spans="1:35" s="10" customFormat="1">
      <c r="A597" s="10">
        <v>3000</v>
      </c>
      <c r="I597" s="59" t="s">
        <v>51</v>
      </c>
      <c r="J597" s="99">
        <f t="shared" ref="J597:T597" si="70">J587/$P$583</f>
        <v>2.3864070399999999</v>
      </c>
      <c r="K597" s="99">
        <f t="shared" si="70"/>
        <v>2.96</v>
      </c>
      <c r="L597" s="99">
        <f t="shared" si="70"/>
        <v>3.8816999999999999</v>
      </c>
      <c r="M597" s="99">
        <f t="shared" si="70"/>
        <v>7.3008000000000006</v>
      </c>
      <c r="N597" s="99">
        <f t="shared" si="70"/>
        <v>7.3008000000000006</v>
      </c>
      <c r="O597" s="99">
        <f t="shared" si="70"/>
        <v>10.686299999999999</v>
      </c>
      <c r="P597" s="99">
        <f t="shared" si="70"/>
        <v>10.7408</v>
      </c>
      <c r="Q597" s="99">
        <f t="shared" si="70"/>
        <v>13.74072</v>
      </c>
      <c r="R597" s="99">
        <f t="shared" si="70"/>
        <v>13.4564</v>
      </c>
      <c r="S597" s="99">
        <f t="shared" si="70"/>
        <v>15.734401999999999</v>
      </c>
      <c r="T597" s="100">
        <f t="shared" si="70"/>
        <v>15.634399999999999</v>
      </c>
      <c r="U597" s="100">
        <f t="shared" si="68"/>
        <v>17.438800000000001</v>
      </c>
      <c r="X597" s="3"/>
      <c r="Y597" s="3"/>
      <c r="Z597" s="3"/>
      <c r="AA597" s="3"/>
      <c r="AB597" s="3"/>
      <c r="AC597" s="3"/>
      <c r="AD597" s="3"/>
      <c r="AE597" s="7"/>
      <c r="AF597" s="3"/>
      <c r="AG597" s="3"/>
      <c r="AH597" s="3"/>
      <c r="AI597" s="3"/>
    </row>
    <row r="598" spans="1:35" s="10" customFormat="1">
      <c r="A598" s="10">
        <v>4000</v>
      </c>
      <c r="I598" s="59" t="s">
        <v>52</v>
      </c>
      <c r="J598" s="99">
        <f t="shared" ref="J598:T598" si="71">J588/$P$583</f>
        <v>0.21717581</v>
      </c>
      <c r="K598" s="99">
        <f t="shared" si="71"/>
        <v>4.0000000000000001E-3</v>
      </c>
      <c r="L598" s="99">
        <f t="shared" si="71"/>
        <v>0.7732</v>
      </c>
      <c r="M598" s="99">
        <f t="shared" si="71"/>
        <v>1.5281</v>
      </c>
      <c r="N598" s="99">
        <f t="shared" si="71"/>
        <v>1.5281</v>
      </c>
      <c r="O598" s="99">
        <f t="shared" si="71"/>
        <v>1.2782</v>
      </c>
      <c r="P598" s="99">
        <f t="shared" si="71"/>
        <v>1.2782</v>
      </c>
      <c r="Q598" s="99">
        <f t="shared" si="71"/>
        <v>1.27827</v>
      </c>
      <c r="R598" s="99">
        <f t="shared" si="71"/>
        <v>0.97529999999999994</v>
      </c>
      <c r="S598" s="99">
        <f t="shared" si="71"/>
        <v>0.97532099999999999</v>
      </c>
      <c r="T598" s="100">
        <f t="shared" si="71"/>
        <v>0.97529999999999994</v>
      </c>
      <c r="U598" s="100">
        <f t="shared" si="68"/>
        <v>0.97529999999999994</v>
      </c>
      <c r="X598" s="3"/>
      <c r="Y598" s="3"/>
      <c r="Z598" s="3"/>
      <c r="AA598" s="3"/>
      <c r="AB598" s="3"/>
      <c r="AC598" s="3"/>
      <c r="AD598" s="3"/>
      <c r="AE598" s="7"/>
      <c r="AF598" s="3"/>
      <c r="AG598" s="3"/>
      <c r="AH598" s="3"/>
      <c r="AI598" s="3"/>
    </row>
    <row r="599" spans="1:35" s="10" customFormat="1">
      <c r="A599" s="10">
        <v>5000</v>
      </c>
      <c r="I599" s="59" t="s">
        <v>53</v>
      </c>
      <c r="J599" s="99">
        <f t="shared" ref="J599:T599" si="72">J589/$P$583</f>
        <v>9.7579999999999991</v>
      </c>
      <c r="K599" s="99">
        <f t="shared" si="72"/>
        <v>9.8539999999999992</v>
      </c>
      <c r="L599" s="99">
        <f t="shared" si="72"/>
        <v>3.2993000000000001</v>
      </c>
      <c r="M599" s="99">
        <f t="shared" si="72"/>
        <v>4.0000999999999998</v>
      </c>
      <c r="N599" s="99">
        <f t="shared" si="72"/>
        <v>4.0000999999999998</v>
      </c>
      <c r="O599" s="99">
        <f t="shared" si="72"/>
        <v>6.4486000000000008</v>
      </c>
      <c r="P599" s="99">
        <f t="shared" si="72"/>
        <v>3</v>
      </c>
      <c r="Q599" s="99">
        <f t="shared" si="72"/>
        <v>4.6406000000000001</v>
      </c>
      <c r="R599" s="99">
        <f t="shared" si="72"/>
        <v>1.6</v>
      </c>
      <c r="S599" s="99">
        <f t="shared" si="72"/>
        <v>0.75</v>
      </c>
      <c r="T599" s="100">
        <f t="shared" si="72"/>
        <v>0.83333299999999999</v>
      </c>
      <c r="U599" s="100">
        <f t="shared" si="68"/>
        <v>8.2200000000000006</v>
      </c>
      <c r="X599" s="3"/>
      <c r="Y599" s="3"/>
      <c r="Z599" s="3"/>
      <c r="AA599" s="3"/>
      <c r="AB599" s="3"/>
      <c r="AC599" s="3"/>
      <c r="AD599" s="3"/>
      <c r="AE599" s="7"/>
      <c r="AF599" s="3"/>
      <c r="AG599" s="3"/>
      <c r="AH599" s="3"/>
      <c r="AI599" s="3"/>
    </row>
    <row r="600" spans="1:35" s="10" customFormat="1">
      <c r="A600" s="10">
        <v>6000</v>
      </c>
      <c r="I600" s="59" t="s">
        <v>54</v>
      </c>
      <c r="J600" s="99">
        <f t="shared" ref="J600:T600" si="73">J590/$P$583</f>
        <v>1.1000000000000001</v>
      </c>
      <c r="K600" s="99">
        <f t="shared" si="73"/>
        <v>5</v>
      </c>
      <c r="L600" s="99">
        <f t="shared" si="73"/>
        <v>3.0002</v>
      </c>
      <c r="M600" s="99">
        <f t="shared" si="73"/>
        <v>3.2806999999999999</v>
      </c>
      <c r="N600" s="99">
        <f t="shared" si="73"/>
        <v>3.2806999999999999</v>
      </c>
      <c r="O600" s="99">
        <f t="shared" si="73"/>
        <v>3.2136999999999998</v>
      </c>
      <c r="P600" s="99">
        <f t="shared" si="73"/>
        <v>0</v>
      </c>
      <c r="Q600" s="99">
        <f t="shared" si="73"/>
        <v>4.5</v>
      </c>
      <c r="R600" s="99">
        <f t="shared" si="73"/>
        <v>0.5</v>
      </c>
      <c r="S600" s="99">
        <f t="shared" si="73"/>
        <v>0</v>
      </c>
      <c r="T600" s="100">
        <f t="shared" si="73"/>
        <v>0</v>
      </c>
      <c r="U600" s="100">
        <f t="shared" si="68"/>
        <v>2.8460999999999999</v>
      </c>
      <c r="X600" s="3"/>
      <c r="Y600" s="3"/>
      <c r="Z600" s="3"/>
      <c r="AA600" s="3"/>
      <c r="AB600" s="3"/>
      <c r="AC600" s="3"/>
      <c r="AD600" s="3"/>
      <c r="AE600" s="7"/>
      <c r="AF600" s="3"/>
      <c r="AG600" s="3"/>
      <c r="AH600" s="3"/>
      <c r="AI600" s="3"/>
    </row>
    <row r="601" spans="1:35" s="10" customFormat="1">
      <c r="I601" s="59" t="s">
        <v>48</v>
      </c>
      <c r="J601" s="134">
        <f t="shared" ref="J601:O601" si="74">J591/$P$583</f>
        <v>17.399999999999999</v>
      </c>
      <c r="K601" s="134">
        <f t="shared" si="74"/>
        <v>25.088999999999999</v>
      </c>
      <c r="L601" s="134">
        <f t="shared" si="74"/>
        <v>23.488900000000001</v>
      </c>
      <c r="M601" s="134">
        <f t="shared" si="74"/>
        <v>47.774499999999996</v>
      </c>
      <c r="N601" s="134">
        <f t="shared" si="74"/>
        <v>47.774499999999996</v>
      </c>
      <c r="O601" s="134">
        <f t="shared" si="74"/>
        <v>69.116400000000013</v>
      </c>
      <c r="P601" s="134">
        <f t="shared" ref="P601:U601" si="75">SUM(P595:P600)</f>
        <v>67.669899999999998</v>
      </c>
      <c r="Q601" s="134">
        <f t="shared" si="75"/>
        <v>87.710580000000007</v>
      </c>
      <c r="R601" s="134">
        <f t="shared" si="75"/>
        <v>84.3018</v>
      </c>
      <c r="S601" s="134">
        <f t="shared" si="75"/>
        <v>88.311312999999998</v>
      </c>
      <c r="T601" s="134">
        <f t="shared" si="75"/>
        <v>95.498317630000003</v>
      </c>
      <c r="U601" s="134">
        <f t="shared" si="75"/>
        <v>108.46969999999999</v>
      </c>
      <c r="V601" s="190"/>
      <c r="X601" s="3"/>
      <c r="Y601" s="3"/>
      <c r="Z601" s="3"/>
      <c r="AA601" s="3"/>
      <c r="AB601" s="3"/>
      <c r="AC601" s="3"/>
      <c r="AD601" s="3"/>
      <c r="AE601" s="7"/>
      <c r="AF601" s="3"/>
      <c r="AG601" s="3"/>
      <c r="AH601" s="3"/>
      <c r="AI601" s="3"/>
    </row>
    <row r="602" spans="1:35" s="10" customFormat="1">
      <c r="I602" s="386" t="s">
        <v>482</v>
      </c>
      <c r="J602" s="149">
        <v>18012</v>
      </c>
      <c r="K602" s="149">
        <v>34280</v>
      </c>
      <c r="L602" s="149">
        <v>39648</v>
      </c>
      <c r="M602" s="346">
        <v>50955</v>
      </c>
      <c r="N602" s="346"/>
      <c r="O602" s="174"/>
      <c r="P602" s="174"/>
      <c r="Q602" s="174"/>
      <c r="R602" s="174"/>
      <c r="S602" s="178"/>
      <c r="T602" s="174"/>
      <c r="U602" s="174"/>
      <c r="V602" s="174"/>
      <c r="W602" s="3"/>
      <c r="X602" s="3"/>
      <c r="Y602" s="3"/>
      <c r="Z602" s="3"/>
      <c r="AA602" s="3"/>
      <c r="AB602" s="3"/>
      <c r="AC602" s="3"/>
      <c r="AD602" s="3"/>
      <c r="AE602" s="7"/>
      <c r="AF602" s="3"/>
      <c r="AG602" s="3"/>
      <c r="AH602" s="3"/>
      <c r="AI602" s="3"/>
    </row>
    <row r="603" spans="1:35">
      <c r="I603" s="245" t="s">
        <v>483</v>
      </c>
      <c r="J603" s="149">
        <v>858</v>
      </c>
      <c r="K603" s="149">
        <v>885</v>
      </c>
      <c r="L603" s="149">
        <v>6901</v>
      </c>
      <c r="M603" s="260">
        <v>12799</v>
      </c>
      <c r="N603" s="260"/>
      <c r="P603" s="171"/>
      <c r="Q603" s="171"/>
      <c r="R603" s="171"/>
      <c r="S603" s="171"/>
      <c r="T603" s="171"/>
      <c r="W603"/>
    </row>
    <row r="604" spans="1:35">
      <c r="I604" s="245"/>
      <c r="P604" s="171"/>
      <c r="Q604" s="171"/>
      <c r="R604" s="171"/>
      <c r="S604" s="171"/>
      <c r="T604" s="171"/>
    </row>
    <row r="605" spans="1:35">
      <c r="I605" s="71" t="s">
        <v>394</v>
      </c>
      <c r="J605"/>
      <c r="K605"/>
      <c r="L605"/>
      <c r="M605"/>
      <c r="N605">
        <v>1000</v>
      </c>
      <c r="O605"/>
      <c r="P605"/>
      <c r="Q605"/>
      <c r="R605"/>
      <c r="S605"/>
      <c r="T605"/>
      <c r="U605"/>
      <c r="V605"/>
      <c r="W605"/>
    </row>
    <row r="606" spans="1:35">
      <c r="I606" s="208"/>
      <c r="J606" s="214"/>
      <c r="K606" s="214"/>
      <c r="L606" s="214"/>
      <c r="M606" s="214"/>
      <c r="N606" s="214"/>
      <c r="O606" s="214"/>
    </row>
    <row r="608" spans="1:35">
      <c r="I608" s="215"/>
      <c r="J608" s="215">
        <v>2003</v>
      </c>
      <c r="K608" s="215">
        <v>2004</v>
      </c>
      <c r="L608" s="215">
        <v>2005</v>
      </c>
      <c r="M608" s="215">
        <v>2006</v>
      </c>
      <c r="N608" s="215">
        <v>2007</v>
      </c>
      <c r="O608" s="215">
        <v>2008</v>
      </c>
      <c r="P608" s="215">
        <v>2009</v>
      </c>
      <c r="Q608" s="215">
        <v>2010</v>
      </c>
      <c r="R608" s="254"/>
    </row>
    <row r="609" spans="9:18">
      <c r="I609" s="61" t="s">
        <v>49</v>
      </c>
      <c r="J609" s="221">
        <v>59.602553000000007</v>
      </c>
      <c r="K609" s="221">
        <v>65.560299999999998</v>
      </c>
      <c r="L609" s="221">
        <v>67.490600000000001</v>
      </c>
      <c r="M609" s="221">
        <v>73.812899999999999</v>
      </c>
      <c r="N609" s="221">
        <v>75.510999999999996</v>
      </c>
      <c r="O609" s="64">
        <v>87.014648019999996</v>
      </c>
      <c r="P609" s="64">
        <f>W436</f>
        <v>93.757604189999995</v>
      </c>
      <c r="Q609" s="64">
        <f>Y436</f>
        <v>99.285917220000002</v>
      </c>
      <c r="R609" s="190"/>
    </row>
    <row r="610" spans="9:18">
      <c r="I610" s="59" t="s">
        <v>50</v>
      </c>
      <c r="J610" s="221">
        <v>4.7619470000000002</v>
      </c>
      <c r="K610" s="221">
        <v>4.67</v>
      </c>
      <c r="L610" s="221">
        <v>4.2093999999999996</v>
      </c>
      <c r="M610" s="221">
        <v>5.3618000000000006</v>
      </c>
      <c r="N610" s="221">
        <v>6.2469999999999999</v>
      </c>
      <c r="O610" s="64">
        <v>8.6435546999999993</v>
      </c>
      <c r="P610" s="64">
        <f>W433</f>
        <v>7.2614248200000002</v>
      </c>
      <c r="Q610" s="64">
        <f>Y433</f>
        <v>11.03776117</v>
      </c>
    </row>
    <row r="611" spans="9:18">
      <c r="I611" s="59" t="s">
        <v>51</v>
      </c>
      <c r="J611" s="221">
        <v>14.049023999999999</v>
      </c>
      <c r="K611" s="221">
        <v>15.0778</v>
      </c>
      <c r="L611" s="221">
        <v>17.424599999999998</v>
      </c>
      <c r="M611" s="221">
        <v>17.140900000000002</v>
      </c>
      <c r="N611" s="221">
        <v>20.651</v>
      </c>
      <c r="O611" s="64">
        <v>28.6771405</v>
      </c>
      <c r="P611" s="64">
        <f>W434</f>
        <v>36.044077420000001</v>
      </c>
      <c r="Q611" s="64">
        <f>Y434</f>
        <v>29.188256969999998</v>
      </c>
    </row>
    <row r="612" spans="9:18">
      <c r="I612" s="59" t="s">
        <v>52</v>
      </c>
      <c r="J612" s="221">
        <v>5.6013000000000002</v>
      </c>
      <c r="K612" s="221">
        <v>5.4283000000000001</v>
      </c>
      <c r="L612" s="221">
        <v>10.6511</v>
      </c>
      <c r="M612" s="221">
        <v>6.2533000000000003</v>
      </c>
      <c r="N612" s="221">
        <v>11.061999999999999</v>
      </c>
      <c r="O612" s="64">
        <v>10.66810132</v>
      </c>
      <c r="P612" s="64">
        <f>W431</f>
        <v>19.420928410000002</v>
      </c>
      <c r="Q612" s="64">
        <f>Y431</f>
        <v>8.3280939999999983</v>
      </c>
    </row>
    <row r="613" spans="9:18">
      <c r="I613" s="59" t="s">
        <v>53</v>
      </c>
      <c r="J613" s="221">
        <v>5.1912000000000003</v>
      </c>
      <c r="K613" s="221">
        <v>1.6</v>
      </c>
      <c r="L613" s="221">
        <v>0.80020000000000002</v>
      </c>
      <c r="M613" s="221">
        <v>1.5749000000000002</v>
      </c>
      <c r="N613" s="221">
        <v>8.9429999999999996</v>
      </c>
      <c r="O613" s="64">
        <v>3.2760744700000002</v>
      </c>
      <c r="P613" s="64">
        <f>W432</f>
        <v>5.2701361699999998</v>
      </c>
      <c r="Q613" s="64">
        <f>Y432</f>
        <v>9.18070831</v>
      </c>
    </row>
    <row r="614" spans="9:18">
      <c r="I614" s="59" t="s">
        <v>54</v>
      </c>
      <c r="J614" s="221">
        <v>4.5</v>
      </c>
      <c r="K614" s="221">
        <v>0.5</v>
      </c>
      <c r="L614" s="221">
        <v>0.49660000000000004</v>
      </c>
      <c r="M614" s="221">
        <v>0</v>
      </c>
      <c r="N614" s="221">
        <v>2.8460000000000001</v>
      </c>
      <c r="O614" s="64">
        <v>0.14662500000000001</v>
      </c>
      <c r="P614" s="64">
        <f>W430</f>
        <v>3</v>
      </c>
      <c r="Q614" s="64">
        <f>Y430</f>
        <v>0.38438484999999994</v>
      </c>
    </row>
    <row r="615" spans="9:18">
      <c r="I615" s="245" t="s">
        <v>434</v>
      </c>
      <c r="J615" s="221">
        <v>0</v>
      </c>
      <c r="K615" s="221">
        <v>0</v>
      </c>
      <c r="L615" s="221">
        <v>0</v>
      </c>
      <c r="M615" s="221">
        <v>0</v>
      </c>
      <c r="N615" s="221">
        <v>0</v>
      </c>
      <c r="O615" s="64">
        <v>0</v>
      </c>
      <c r="P615" s="64">
        <f>W435</f>
        <v>0</v>
      </c>
      <c r="Q615" s="64">
        <f>Y435</f>
        <v>42.481037270000002</v>
      </c>
    </row>
    <row r="616" spans="9:18">
      <c r="I616" s="71" t="s">
        <v>48</v>
      </c>
      <c r="J616" s="222">
        <v>93.706023999999999</v>
      </c>
      <c r="K616" s="222">
        <v>92.836399999999998</v>
      </c>
      <c r="L616" s="222">
        <v>101.07250000000001</v>
      </c>
      <c r="M616" s="222">
        <v>104.1438</v>
      </c>
      <c r="N616" s="222">
        <v>125.26</v>
      </c>
      <c r="O616" s="133">
        <v>163.59884239999997</v>
      </c>
      <c r="P616" s="64">
        <f>W437</f>
        <v>67.996566819999998</v>
      </c>
      <c r="Q616" s="64">
        <f>Y437</f>
        <v>199.88615978999999</v>
      </c>
    </row>
    <row r="620" spans="9:18">
      <c r="I620" s="71" t="s">
        <v>410</v>
      </c>
      <c r="J620" s="65"/>
      <c r="K620" s="64"/>
      <c r="L620" s="64"/>
      <c r="M620" s="64"/>
      <c r="N620" s="64"/>
      <c r="O620" s="64"/>
    </row>
    <row r="621" spans="9:18">
      <c r="I621" s="215" t="s">
        <v>387</v>
      </c>
      <c r="J621" s="215" t="s">
        <v>405</v>
      </c>
      <c r="K621" s="215" t="s">
        <v>406</v>
      </c>
      <c r="L621" s="215" t="s">
        <v>415</v>
      </c>
      <c r="M621" s="215" t="s">
        <v>416</v>
      </c>
      <c r="N621" s="215" t="s">
        <v>453</v>
      </c>
      <c r="O621" s="215" t="s">
        <v>431</v>
      </c>
    </row>
    <row r="622" spans="9:18">
      <c r="I622" s="61" t="s">
        <v>49</v>
      </c>
      <c r="J622" s="218">
        <v>90659.455029999997</v>
      </c>
      <c r="K622" s="218">
        <v>87014.648019999993</v>
      </c>
      <c r="L622" s="247">
        <v>93309.442169999995</v>
      </c>
      <c r="M622" s="248">
        <v>93757.604189999998</v>
      </c>
      <c r="N622" s="248">
        <v>101153.7271</v>
      </c>
      <c r="O622" s="248">
        <f t="shared" ref="O622:O629" si="76">Y419</f>
        <v>99285.917220000003</v>
      </c>
    </row>
    <row r="623" spans="9:18">
      <c r="I623" s="59" t="s">
        <v>50</v>
      </c>
      <c r="J623" s="218">
        <v>10501.022000000001</v>
      </c>
      <c r="K623" s="218">
        <v>8643.5546999999988</v>
      </c>
      <c r="L623" s="247">
        <v>7511.7460000000001</v>
      </c>
      <c r="M623" s="248">
        <v>7261.4248200000002</v>
      </c>
      <c r="N623" s="248">
        <v>11121.644</v>
      </c>
      <c r="O623" s="248">
        <f t="shared" si="76"/>
        <v>11037.76117</v>
      </c>
    </row>
    <row r="624" spans="9:18">
      <c r="I624" s="59" t="s">
        <v>51</v>
      </c>
      <c r="J624" s="218">
        <v>30834.411</v>
      </c>
      <c r="K624" s="218">
        <v>28677.140500000001</v>
      </c>
      <c r="L624" s="247">
        <v>36593.464999999997</v>
      </c>
      <c r="M624" s="248">
        <v>36044.077420000001</v>
      </c>
      <c r="N624" s="248">
        <v>30620.807000000001</v>
      </c>
      <c r="O624" s="248">
        <f t="shared" si="76"/>
        <v>29188.256969999999</v>
      </c>
    </row>
    <row r="625" spans="9:15">
      <c r="I625" s="245" t="s">
        <v>452</v>
      </c>
      <c r="J625" s="218">
        <v>3975.3</v>
      </c>
      <c r="K625" s="218">
        <v>10668.10132</v>
      </c>
      <c r="L625" s="247">
        <v>15690.605</v>
      </c>
      <c r="M625" s="248">
        <v>19420.92841</v>
      </c>
      <c r="N625" s="248">
        <v>9155.2999999999993</v>
      </c>
      <c r="O625" s="248">
        <f t="shared" si="76"/>
        <v>8328.0939999999991</v>
      </c>
    </row>
    <row r="626" spans="9:15">
      <c r="I626" s="59" t="s">
        <v>53</v>
      </c>
      <c r="J626" s="218">
        <v>5525</v>
      </c>
      <c r="K626" s="218">
        <v>3276.07447</v>
      </c>
      <c r="L626" s="247">
        <v>6500</v>
      </c>
      <c r="M626" s="248">
        <v>5270.1361699999998</v>
      </c>
      <c r="N626" s="248">
        <v>12099</v>
      </c>
      <c r="O626" s="248">
        <f t="shared" si="76"/>
        <v>9180.70831</v>
      </c>
    </row>
    <row r="627" spans="9:15">
      <c r="I627" s="59" t="s">
        <v>54</v>
      </c>
      <c r="J627" s="218">
        <v>1314</v>
      </c>
      <c r="K627" s="218">
        <v>146.625</v>
      </c>
      <c r="L627" s="247">
        <v>3500</v>
      </c>
      <c r="M627" s="248">
        <v>3000</v>
      </c>
      <c r="N627" s="248">
        <v>1000</v>
      </c>
      <c r="O627" s="248">
        <f t="shared" si="76"/>
        <v>384.38484999999997</v>
      </c>
    </row>
    <row r="628" spans="9:15">
      <c r="I628" s="245" t="s">
        <v>52</v>
      </c>
      <c r="J628" s="218">
        <v>0</v>
      </c>
      <c r="K628" s="218">
        <v>0</v>
      </c>
      <c r="L628" s="247">
        <v>0</v>
      </c>
      <c r="M628" s="248">
        <v>0</v>
      </c>
      <c r="N628" s="248">
        <v>26500</v>
      </c>
      <c r="O628" s="248">
        <f t="shared" si="76"/>
        <v>42481.037270000001</v>
      </c>
    </row>
    <row r="629" spans="9:15">
      <c r="I629" s="219" t="s">
        <v>21</v>
      </c>
      <c r="J629" s="220">
        <f>SUM(J622:J628)</f>
        <v>142809.18802999999</v>
      </c>
      <c r="K629" s="220">
        <v>138426.14400999996</v>
      </c>
      <c r="L629" s="220">
        <f>SUM(L622:L628)</f>
        <v>163105.25817000002</v>
      </c>
      <c r="M629" s="220">
        <v>138427.14400999999</v>
      </c>
      <c r="N629" s="220">
        <f>SUM(N622:N628)</f>
        <v>191650.47810000001</v>
      </c>
      <c r="O629" s="220">
        <f t="shared" si="76"/>
        <v>199886.15979000001</v>
      </c>
    </row>
    <row r="631" spans="9:15">
      <c r="J631" s="65"/>
      <c r="K631" s="64"/>
      <c r="L631" s="64">
        <v>1000</v>
      </c>
      <c r="M631" s="64"/>
      <c r="N631" s="64">
        <v>2010</v>
      </c>
      <c r="O631" s="64">
        <v>2010</v>
      </c>
    </row>
    <row r="632" spans="9:15">
      <c r="I632" s="71" t="s">
        <v>410</v>
      </c>
      <c r="J632" s="215" t="s">
        <v>405</v>
      </c>
      <c r="K632" s="215" t="s">
        <v>406</v>
      </c>
      <c r="L632" s="215" t="s">
        <v>415</v>
      </c>
      <c r="M632" s="215" t="s">
        <v>416</v>
      </c>
      <c r="N632" s="215" t="s">
        <v>455</v>
      </c>
      <c r="O632" s="215" t="s">
        <v>456</v>
      </c>
    </row>
    <row r="633" spans="9:15">
      <c r="I633" s="61" t="s">
        <v>49</v>
      </c>
      <c r="J633" s="238">
        <f t="shared" ref="J633:J638" si="77">J622/L$631</f>
        <v>90.659455030000004</v>
      </c>
      <c r="K633" s="238">
        <f t="shared" ref="K633:K638" si="78">K622/L$631</f>
        <v>87.014648019999996</v>
      </c>
      <c r="L633" s="238">
        <f t="shared" ref="L633:L638" si="79">L622/L$631</f>
        <v>93.309442169999997</v>
      </c>
      <c r="M633" s="238">
        <f t="shared" ref="M633:M638" si="80">M622/L$631</f>
        <v>93.757604189999995</v>
      </c>
      <c r="N633" s="238">
        <f>N622/$L$631</f>
        <v>101.1537271</v>
      </c>
      <c r="O633" s="238">
        <f>O622/$L$631</f>
        <v>99.285917220000002</v>
      </c>
    </row>
    <row r="634" spans="9:15">
      <c r="I634" s="59" t="s">
        <v>50</v>
      </c>
      <c r="J634" s="238">
        <f t="shared" si="77"/>
        <v>10.501022000000001</v>
      </c>
      <c r="K634" s="238">
        <f t="shared" si="78"/>
        <v>8.6435546999999993</v>
      </c>
      <c r="L634" s="238">
        <f t="shared" si="79"/>
        <v>7.5117460000000005</v>
      </c>
      <c r="M634" s="238">
        <f t="shared" si="80"/>
        <v>7.2614248200000002</v>
      </c>
      <c r="N634" s="238">
        <f t="shared" ref="N634:N640" si="81">N623/$L$631</f>
        <v>11.121644</v>
      </c>
      <c r="O634" s="238">
        <f t="shared" ref="O634:O640" si="82">O623/$L$631</f>
        <v>11.03776117</v>
      </c>
    </row>
    <row r="635" spans="9:15">
      <c r="I635" s="59" t="s">
        <v>51</v>
      </c>
      <c r="J635" s="238">
        <f t="shared" si="77"/>
        <v>30.834410999999999</v>
      </c>
      <c r="K635" s="238">
        <f t="shared" si="78"/>
        <v>28.6771405</v>
      </c>
      <c r="L635" s="238">
        <f t="shared" si="79"/>
        <v>36.593464999999995</v>
      </c>
      <c r="M635" s="238">
        <f t="shared" si="80"/>
        <v>36.044077420000001</v>
      </c>
      <c r="N635" s="238">
        <f t="shared" si="81"/>
        <v>30.620806999999999</v>
      </c>
      <c r="O635" s="238">
        <f t="shared" si="82"/>
        <v>29.188256969999998</v>
      </c>
    </row>
    <row r="636" spans="9:15">
      <c r="I636" s="245" t="s">
        <v>452</v>
      </c>
      <c r="J636" s="238">
        <f t="shared" si="77"/>
        <v>3.9753000000000003</v>
      </c>
      <c r="K636" s="238">
        <f t="shared" si="78"/>
        <v>10.66810132</v>
      </c>
      <c r="L636" s="238">
        <f t="shared" si="79"/>
        <v>15.690605</v>
      </c>
      <c r="M636" s="238">
        <f t="shared" si="80"/>
        <v>19.420928410000002</v>
      </c>
      <c r="N636" s="238">
        <f t="shared" si="81"/>
        <v>9.1552999999999987</v>
      </c>
      <c r="O636" s="238">
        <f t="shared" si="82"/>
        <v>8.3280939999999983</v>
      </c>
    </row>
    <row r="637" spans="9:15">
      <c r="I637" s="59" t="s">
        <v>53</v>
      </c>
      <c r="J637" s="238">
        <f t="shared" si="77"/>
        <v>5.5250000000000004</v>
      </c>
      <c r="K637" s="238">
        <f t="shared" si="78"/>
        <v>3.2760744700000002</v>
      </c>
      <c r="L637" s="238">
        <f t="shared" si="79"/>
        <v>6.5</v>
      </c>
      <c r="M637" s="238">
        <f t="shared" si="80"/>
        <v>5.2701361699999998</v>
      </c>
      <c r="N637" s="238">
        <f t="shared" si="81"/>
        <v>12.099</v>
      </c>
      <c r="O637" s="238">
        <f t="shared" si="82"/>
        <v>9.18070831</v>
      </c>
    </row>
    <row r="638" spans="9:15">
      <c r="I638" s="59" t="s">
        <v>54</v>
      </c>
      <c r="J638" s="238">
        <f t="shared" si="77"/>
        <v>1.3140000000000001</v>
      </c>
      <c r="K638" s="238">
        <f t="shared" si="78"/>
        <v>0.14662500000000001</v>
      </c>
      <c r="L638" s="238">
        <f t="shared" si="79"/>
        <v>3.5</v>
      </c>
      <c r="M638" s="238">
        <f t="shared" si="80"/>
        <v>3</v>
      </c>
      <c r="N638" s="238">
        <f t="shared" si="81"/>
        <v>1</v>
      </c>
      <c r="O638" s="238">
        <f t="shared" si="82"/>
        <v>0.38438484999999994</v>
      </c>
    </row>
    <row r="639" spans="9:15">
      <c r="I639" s="245" t="s">
        <v>454</v>
      </c>
      <c r="J639" s="238">
        <v>0</v>
      </c>
      <c r="K639" s="238">
        <v>0</v>
      </c>
      <c r="L639" s="238">
        <v>0</v>
      </c>
      <c r="M639" s="238">
        <v>0</v>
      </c>
      <c r="N639" s="238">
        <f t="shared" si="81"/>
        <v>26.5</v>
      </c>
      <c r="O639" s="238">
        <f t="shared" si="82"/>
        <v>42.481037270000002</v>
      </c>
    </row>
    <row r="640" spans="9:15">
      <c r="I640" s="219" t="s">
        <v>21</v>
      </c>
      <c r="J640" s="222">
        <f>SUM(J633:J638)</f>
        <v>142.80918803</v>
      </c>
      <c r="K640" s="222">
        <f>SUM(K633:K638)</f>
        <v>138.42614401</v>
      </c>
      <c r="L640" s="222">
        <f>SUM(L633:L638)</f>
        <v>163.10525817000001</v>
      </c>
      <c r="M640" s="222">
        <f>SUM(M633:M638)</f>
        <v>164.75417100999999</v>
      </c>
      <c r="N640" s="222">
        <f t="shared" si="81"/>
        <v>191.65047810000002</v>
      </c>
      <c r="O640" s="222">
        <f t="shared" si="82"/>
        <v>199.88615978999999</v>
      </c>
    </row>
    <row r="641" spans="9:20">
      <c r="I641" s="219"/>
      <c r="J641" s="222"/>
      <c r="K641" s="222"/>
      <c r="L641" s="222"/>
      <c r="M641" s="222"/>
      <c r="N641" s="222"/>
      <c r="O641" s="222"/>
      <c r="P641" s="410"/>
      <c r="Q641" s="410"/>
      <c r="R641" s="410"/>
      <c r="S641" s="410"/>
      <c r="T641" s="410"/>
    </row>
    <row r="642" spans="9:20">
      <c r="I642" s="219"/>
      <c r="J642" s="222"/>
      <c r="K642" s="222"/>
      <c r="L642" s="222"/>
      <c r="M642" s="222"/>
      <c r="N642" s="222"/>
      <c r="O642" s="222"/>
      <c r="P642" s="410"/>
      <c r="Q642" s="410"/>
      <c r="R642" s="410"/>
      <c r="S642" s="410"/>
      <c r="T642" s="410"/>
    </row>
    <row r="643" spans="9:20" ht="38.25">
      <c r="I643" s="219" t="s">
        <v>602</v>
      </c>
      <c r="J643" s="412">
        <v>2004</v>
      </c>
      <c r="K643" s="412">
        <v>2005</v>
      </c>
      <c r="L643" s="412">
        <v>2006</v>
      </c>
      <c r="M643" s="412">
        <v>2007</v>
      </c>
      <c r="N643" s="412">
        <v>2008</v>
      </c>
      <c r="O643" s="412">
        <v>2009</v>
      </c>
      <c r="P643" s="412">
        <v>2010</v>
      </c>
      <c r="Q643" s="412">
        <v>2011</v>
      </c>
      <c r="R643" s="412">
        <v>2012</v>
      </c>
      <c r="S643" s="412">
        <v>2013</v>
      </c>
    </row>
    <row r="644" spans="9:20">
      <c r="I644" s="59" t="s">
        <v>588</v>
      </c>
      <c r="J644" s="222"/>
      <c r="K644" s="222"/>
      <c r="L644" s="222"/>
      <c r="M644" s="222"/>
      <c r="N644" s="222"/>
      <c r="O644" s="222"/>
      <c r="P644" s="222"/>
      <c r="Q644" s="222"/>
      <c r="R644" s="222"/>
      <c r="S644" s="411">
        <v>1</v>
      </c>
      <c r="T644" s="410"/>
    </row>
    <row r="645" spans="9:20">
      <c r="I645" s="59" t="s">
        <v>589</v>
      </c>
      <c r="J645" s="222"/>
      <c r="K645" s="222"/>
      <c r="L645" s="222"/>
      <c r="M645" s="222"/>
      <c r="N645" s="222"/>
      <c r="O645" s="222"/>
      <c r="P645" s="222"/>
      <c r="Q645" s="222"/>
      <c r="R645" s="222"/>
      <c r="S645" s="411">
        <v>9</v>
      </c>
      <c r="T645" s="410"/>
    </row>
    <row r="646" spans="9:20">
      <c r="I646" s="59" t="s">
        <v>590</v>
      </c>
      <c r="J646" s="222"/>
      <c r="K646" s="222"/>
      <c r="L646" s="222"/>
      <c r="M646" s="222"/>
      <c r="N646" s="222"/>
      <c r="O646" s="222"/>
      <c r="P646" s="222"/>
      <c r="Q646" s="222"/>
      <c r="R646" s="222"/>
      <c r="S646" s="411">
        <v>12</v>
      </c>
      <c r="T646" s="410"/>
    </row>
    <row r="647" spans="9:20">
      <c r="I647" s="59" t="s">
        <v>591</v>
      </c>
      <c r="J647" s="222"/>
      <c r="K647" s="222"/>
      <c r="L647" s="222"/>
      <c r="M647" s="222"/>
      <c r="N647" s="222"/>
      <c r="O647" s="222"/>
      <c r="P647" s="222"/>
      <c r="Q647" s="222"/>
      <c r="R647" s="222"/>
      <c r="S647" s="411">
        <v>18</v>
      </c>
      <c r="T647" s="410"/>
    </row>
    <row r="648" spans="9:20">
      <c r="I648" s="59" t="s">
        <v>592</v>
      </c>
      <c r="J648" s="222"/>
      <c r="K648" s="222"/>
      <c r="L648" s="222"/>
      <c r="M648" s="222"/>
      <c r="N648" s="222"/>
      <c r="O648" s="222"/>
      <c r="P648" s="222"/>
      <c r="Q648" s="222"/>
      <c r="R648" s="222"/>
      <c r="S648" s="411">
        <v>9</v>
      </c>
      <c r="T648" s="410"/>
    </row>
    <row r="649" spans="9:20">
      <c r="I649" s="219" t="s">
        <v>21</v>
      </c>
      <c r="J649" s="222"/>
      <c r="K649" s="222"/>
      <c r="L649" s="222"/>
      <c r="M649" s="222"/>
      <c r="N649" s="222"/>
      <c r="O649" s="222"/>
      <c r="P649" s="222"/>
      <c r="Q649" s="222"/>
      <c r="R649" s="222"/>
      <c r="S649" s="411">
        <f>SUM(S644:S648)</f>
        <v>49</v>
      </c>
      <c r="T649" s="410"/>
    </row>
    <row r="650" spans="9:20">
      <c r="I650" s="219"/>
      <c r="J650" s="222"/>
      <c r="K650" s="222"/>
      <c r="L650" s="222"/>
      <c r="M650" s="222"/>
      <c r="N650" s="222"/>
      <c r="O650" s="222"/>
      <c r="P650" s="410"/>
      <c r="Q650" s="410"/>
      <c r="R650" s="410"/>
      <c r="S650" s="410"/>
      <c r="T650" s="410"/>
    </row>
    <row r="651" spans="9:20">
      <c r="I651" s="219"/>
      <c r="J651" s="222"/>
      <c r="K651" s="222"/>
      <c r="L651" s="222"/>
      <c r="M651" s="222"/>
      <c r="N651" s="222"/>
      <c r="O651" s="222"/>
      <c r="P651" s="410"/>
      <c r="Q651" s="410"/>
      <c r="R651" s="410"/>
      <c r="S651" s="410"/>
      <c r="T651" s="410"/>
    </row>
    <row r="652" spans="9:20">
      <c r="I652" s="219"/>
      <c r="J652" s="222"/>
      <c r="K652" s="222"/>
      <c r="L652" s="222"/>
      <c r="M652" s="222"/>
      <c r="N652" s="222"/>
      <c r="O652" s="222"/>
      <c r="P652" s="410"/>
      <c r="Q652" s="410"/>
      <c r="R652" s="410"/>
      <c r="S652" s="410"/>
      <c r="T652" s="410"/>
    </row>
    <row r="653" spans="9:20">
      <c r="I653" s="219"/>
      <c r="J653" s="222"/>
      <c r="K653" s="222"/>
      <c r="L653" s="222"/>
      <c r="M653" s="222"/>
      <c r="N653" s="222"/>
      <c r="O653" s="222"/>
      <c r="P653" s="410"/>
      <c r="Q653" s="410"/>
      <c r="R653" s="410"/>
      <c r="S653" s="410"/>
      <c r="T653" s="410"/>
    </row>
    <row r="654" spans="9:20">
      <c r="I654" s="219"/>
      <c r="J654" s="222"/>
      <c r="K654" s="222"/>
      <c r="L654" s="222"/>
      <c r="M654" s="222"/>
      <c r="N654" s="222"/>
      <c r="O654" s="222"/>
      <c r="P654" s="410"/>
      <c r="Q654" s="410"/>
      <c r="R654" s="410"/>
      <c r="S654" s="410"/>
      <c r="T654" s="410"/>
    </row>
    <row r="655" spans="9:20">
      <c r="I655" s="219"/>
      <c r="J655" s="222"/>
      <c r="K655" s="222"/>
      <c r="L655" s="222"/>
      <c r="M655" s="222"/>
      <c r="N655" s="222"/>
      <c r="O655" s="222"/>
      <c r="P655" s="410"/>
      <c r="Q655" s="410"/>
      <c r="R655" s="410"/>
      <c r="S655" s="410"/>
      <c r="T655" s="410"/>
    </row>
    <row r="656" spans="9:20">
      <c r="I656" s="219"/>
      <c r="J656" s="222"/>
      <c r="K656" s="222"/>
      <c r="L656" s="222"/>
      <c r="M656" s="222"/>
      <c r="N656" s="222"/>
      <c r="O656" s="222"/>
      <c r="P656" s="410"/>
      <c r="Q656" s="410"/>
      <c r="R656" s="410"/>
      <c r="S656" s="410"/>
      <c r="T656" s="410"/>
    </row>
    <row r="657" spans="9:20">
      <c r="I657" s="219"/>
      <c r="J657" s="222"/>
      <c r="K657" s="222"/>
      <c r="L657" s="222"/>
      <c r="M657" s="222"/>
      <c r="N657" s="222"/>
      <c r="O657" s="222"/>
      <c r="P657" s="410"/>
      <c r="Q657" s="410"/>
      <c r="R657" s="410"/>
      <c r="S657" s="410"/>
      <c r="T657" s="410"/>
    </row>
    <row r="658" spans="9:20">
      <c r="I658" s="219"/>
      <c r="J658" s="222"/>
      <c r="K658" s="222"/>
      <c r="L658" s="222"/>
      <c r="M658" s="222"/>
      <c r="N658" s="222"/>
      <c r="O658" s="222"/>
      <c r="P658" s="410"/>
      <c r="Q658" s="410"/>
      <c r="R658" s="410"/>
      <c r="S658" s="410"/>
      <c r="T658" s="410"/>
    </row>
    <row r="659" spans="9:20">
      <c r="I659" s="219"/>
      <c r="J659" s="222"/>
      <c r="K659" s="222"/>
      <c r="L659" s="222"/>
      <c r="M659" s="222"/>
      <c r="N659" s="222"/>
      <c r="O659" s="222"/>
      <c r="P659" s="410"/>
      <c r="Q659" s="410"/>
      <c r="R659" s="410"/>
      <c r="S659" s="410"/>
      <c r="T659" s="410"/>
    </row>
    <row r="660" spans="9:20">
      <c r="I660" s="219"/>
      <c r="J660" s="222"/>
      <c r="K660" s="222"/>
      <c r="L660" s="222"/>
      <c r="M660" s="222"/>
      <c r="N660" s="222"/>
      <c r="O660" s="222"/>
      <c r="P660" s="410"/>
      <c r="Q660" s="410"/>
      <c r="R660" s="410"/>
      <c r="S660" s="410"/>
      <c r="T660" s="410"/>
    </row>
    <row r="661" spans="9:20">
      <c r="I661" s="219"/>
      <c r="J661" s="222"/>
      <c r="K661" s="222"/>
      <c r="L661" s="222"/>
      <c r="M661" s="222"/>
      <c r="N661" s="222"/>
      <c r="O661" s="222"/>
      <c r="P661" s="410"/>
      <c r="Q661" s="410"/>
      <c r="R661" s="410"/>
      <c r="S661" s="410"/>
      <c r="T661" s="410"/>
    </row>
    <row r="662" spans="9:20">
      <c r="I662" s="219"/>
      <c r="J662" s="222"/>
      <c r="K662" s="222"/>
      <c r="L662" s="222"/>
      <c r="M662" s="222"/>
      <c r="N662" s="222"/>
      <c r="O662" s="222"/>
      <c r="P662" s="410"/>
      <c r="Q662" s="410"/>
      <c r="R662" s="410"/>
      <c r="S662" s="410"/>
      <c r="T662" s="410"/>
    </row>
    <row r="663" spans="9:20">
      <c r="I663" s="219"/>
      <c r="J663" s="222"/>
      <c r="K663" s="222"/>
      <c r="L663" s="222"/>
      <c r="M663" s="222"/>
      <c r="N663" s="222"/>
      <c r="O663" s="222"/>
      <c r="P663" s="410"/>
      <c r="Q663" s="410"/>
      <c r="R663" s="410"/>
      <c r="S663" s="410"/>
      <c r="T663" s="410"/>
    </row>
    <row r="664" spans="9:20">
      <c r="I664" s="219"/>
      <c r="J664" s="222"/>
      <c r="K664" s="222"/>
      <c r="L664" s="222"/>
      <c r="M664" s="222"/>
      <c r="N664" s="222"/>
      <c r="O664" s="222"/>
      <c r="P664" s="410"/>
      <c r="Q664" s="410"/>
      <c r="R664" s="410"/>
      <c r="S664" s="410"/>
      <c r="T664" s="410"/>
    </row>
    <row r="665" spans="9:20">
      <c r="I665" s="219"/>
      <c r="J665" s="222"/>
      <c r="K665" s="222"/>
      <c r="L665" s="222"/>
      <c r="M665" s="222"/>
      <c r="N665" s="222"/>
      <c r="O665" s="222"/>
      <c r="P665" s="410"/>
      <c r="Q665" s="410"/>
      <c r="R665" s="410"/>
      <c r="S665" s="410"/>
      <c r="T665" s="410"/>
    </row>
    <row r="666" spans="9:20">
      <c r="I666" s="219"/>
      <c r="J666" s="222"/>
      <c r="K666" s="222"/>
      <c r="L666" s="222"/>
      <c r="M666" s="222"/>
      <c r="N666" s="222"/>
      <c r="O666" s="222"/>
      <c r="P666" s="410"/>
      <c r="Q666" s="410"/>
      <c r="R666" s="410"/>
      <c r="S666" s="410"/>
      <c r="T666" s="410"/>
    </row>
    <row r="667" spans="9:20">
      <c r="I667" s="219"/>
      <c r="J667" s="222"/>
      <c r="K667" s="222"/>
      <c r="L667" s="222"/>
      <c r="M667" s="222"/>
      <c r="N667" s="222"/>
      <c r="O667" s="222"/>
      <c r="P667" s="410"/>
      <c r="Q667" s="410"/>
      <c r="R667" s="410"/>
      <c r="S667" s="410"/>
      <c r="T667" s="410"/>
    </row>
    <row r="668" spans="9:20">
      <c r="I668" s="219"/>
      <c r="J668" s="222"/>
      <c r="K668" s="222"/>
      <c r="L668" s="222"/>
      <c r="M668" s="222"/>
      <c r="N668" s="222"/>
      <c r="O668" s="222"/>
      <c r="P668" s="410"/>
      <c r="Q668" s="410"/>
      <c r="R668" s="410"/>
      <c r="S668" s="410"/>
      <c r="T668" s="410"/>
    </row>
    <row r="669" spans="9:20">
      <c r="I669" s="219"/>
      <c r="J669" s="222"/>
      <c r="K669" s="222"/>
      <c r="L669" s="222"/>
      <c r="M669" s="222"/>
      <c r="N669" s="222"/>
      <c r="O669" s="222"/>
      <c r="P669" s="410"/>
      <c r="Q669" s="410"/>
      <c r="R669" s="410"/>
      <c r="S669" s="410"/>
      <c r="T669" s="410"/>
    </row>
    <row r="672" spans="9:20">
      <c r="I672" s="423" t="s">
        <v>457</v>
      </c>
      <c r="J672" s="470">
        <v>2006</v>
      </c>
      <c r="K672" s="470">
        <v>2007</v>
      </c>
      <c r="L672" s="470">
        <v>2008</v>
      </c>
      <c r="M672" s="470">
        <v>2009</v>
      </c>
      <c r="N672" s="470">
        <v>2010</v>
      </c>
      <c r="O672" s="470">
        <v>2011</v>
      </c>
      <c r="P672" s="430">
        <v>2012</v>
      </c>
      <c r="Q672" s="430">
        <v>2013</v>
      </c>
    </row>
    <row r="673" spans="9:17">
      <c r="I673" s="426" t="s">
        <v>458</v>
      </c>
      <c r="J673" s="419">
        <v>15</v>
      </c>
      <c r="K673" s="419">
        <v>20</v>
      </c>
      <c r="L673" s="419">
        <v>22</v>
      </c>
      <c r="M673" s="419">
        <v>25</v>
      </c>
      <c r="N673" s="419">
        <v>47</v>
      </c>
      <c r="O673" s="419">
        <v>33</v>
      </c>
      <c r="P673" s="417">
        <v>42</v>
      </c>
      <c r="Q673" s="417">
        <v>75</v>
      </c>
    </row>
    <row r="677" spans="9:17" ht="15.75" hidden="1">
      <c r="I677" s="487" t="s">
        <v>489</v>
      </c>
      <c r="J677" s="487" t="s">
        <v>484</v>
      </c>
      <c r="K677" s="347" t="s">
        <v>447</v>
      </c>
      <c r="L677" s="493" t="s">
        <v>485</v>
      </c>
    </row>
    <row r="678" spans="9:17" ht="16.5" hidden="1" thickBot="1">
      <c r="I678" s="488"/>
      <c r="J678" s="488"/>
      <c r="K678" s="348"/>
      <c r="L678" s="494"/>
    </row>
    <row r="679" spans="9:17" ht="15.75" hidden="1" thickBot="1">
      <c r="I679" s="349" t="s">
        <v>486</v>
      </c>
      <c r="J679" s="350">
        <v>13262</v>
      </c>
      <c r="K679" s="351">
        <v>800</v>
      </c>
      <c r="L679" s="352">
        <v>6</v>
      </c>
    </row>
    <row r="680" spans="9:17" ht="15.75" hidden="1" thickBot="1">
      <c r="I680" s="349" t="s">
        <v>435</v>
      </c>
      <c r="J680" s="350">
        <v>12331</v>
      </c>
      <c r="K680" s="351">
        <v>9443</v>
      </c>
      <c r="L680" s="352">
        <v>77</v>
      </c>
    </row>
    <row r="681" spans="9:17" ht="15.75" hidden="1" thickBot="1">
      <c r="I681" s="349" t="s">
        <v>487</v>
      </c>
      <c r="J681" s="350">
        <v>25362</v>
      </c>
      <c r="K681" s="351">
        <v>2556</v>
      </c>
      <c r="L681" s="352">
        <v>10</v>
      </c>
    </row>
    <row r="682" spans="9:17" ht="16.5" hidden="1" thickBot="1">
      <c r="I682" s="353" t="s">
        <v>488</v>
      </c>
      <c r="J682" s="354">
        <v>50955</v>
      </c>
      <c r="K682" s="355">
        <v>12799</v>
      </c>
      <c r="L682" s="356">
        <v>25</v>
      </c>
    </row>
    <row r="683" spans="9:17" hidden="1"/>
    <row r="684" spans="9:17" hidden="1"/>
    <row r="685" spans="9:17" ht="13.5" hidden="1" thickBot="1"/>
    <row r="686" spans="9:17" ht="31.5" hidden="1" customHeight="1">
      <c r="I686" s="487" t="s">
        <v>500</v>
      </c>
      <c r="J686" s="491" t="s">
        <v>484</v>
      </c>
      <c r="K686" s="489" t="s">
        <v>447</v>
      </c>
      <c r="L686" s="489" t="s">
        <v>485</v>
      </c>
    </row>
    <row r="687" spans="9:17" ht="13.5" hidden="1" thickBot="1">
      <c r="I687" s="488"/>
      <c r="J687" s="492"/>
      <c r="K687" s="490"/>
      <c r="L687" s="490"/>
    </row>
    <row r="688" spans="9:17" ht="15.75" hidden="1" thickBot="1">
      <c r="I688" s="359" t="s">
        <v>498</v>
      </c>
      <c r="J688" s="360">
        <v>8907</v>
      </c>
      <c r="K688" s="361">
        <v>1135</v>
      </c>
      <c r="L688" s="362">
        <v>0.12</v>
      </c>
    </row>
    <row r="689" spans="9:12" ht="15.75" hidden="1" thickBot="1">
      <c r="I689" s="359" t="s">
        <v>499</v>
      </c>
      <c r="J689" s="360">
        <v>42521</v>
      </c>
      <c r="K689" s="361">
        <v>12398</v>
      </c>
      <c r="L689" s="362">
        <v>0.28999999999999998</v>
      </c>
    </row>
    <row r="690" spans="9:12" ht="16.5" hidden="1" thickBot="1">
      <c r="I690" s="363" t="s">
        <v>21</v>
      </c>
      <c r="J690" s="360">
        <v>51428</v>
      </c>
      <c r="K690" s="361">
        <v>13533</v>
      </c>
      <c r="L690" s="362">
        <v>0.46</v>
      </c>
    </row>
    <row r="692" spans="9:12" ht="13.5" thickBot="1">
      <c r="I692" s="367" t="s">
        <v>507</v>
      </c>
    </row>
    <row r="693" spans="9:12">
      <c r="I693" s="368">
        <v>2009</v>
      </c>
      <c r="J693" s="369" t="s">
        <v>505</v>
      </c>
      <c r="K693" s="370" t="s">
        <v>506</v>
      </c>
    </row>
    <row r="694" spans="9:12">
      <c r="I694" s="371" t="s">
        <v>62</v>
      </c>
      <c r="J694" s="366">
        <v>41</v>
      </c>
      <c r="K694" s="372">
        <v>40310</v>
      </c>
    </row>
    <row r="695" spans="9:12">
      <c r="I695" s="371" t="s">
        <v>501</v>
      </c>
      <c r="J695" s="366">
        <v>24</v>
      </c>
      <c r="K695" s="372">
        <v>32550</v>
      </c>
    </row>
    <row r="696" spans="9:12">
      <c r="I696" s="371" t="s">
        <v>502</v>
      </c>
      <c r="J696" s="366">
        <v>21</v>
      </c>
      <c r="K696" s="372">
        <v>19450</v>
      </c>
    </row>
    <row r="697" spans="9:12">
      <c r="I697" s="371" t="s">
        <v>503</v>
      </c>
      <c r="J697" s="366">
        <v>19</v>
      </c>
      <c r="K697" s="372">
        <v>46150</v>
      </c>
    </row>
    <row r="698" spans="9:12">
      <c r="I698" s="371" t="s">
        <v>504</v>
      </c>
      <c r="J698" s="366">
        <v>1</v>
      </c>
      <c r="K698" s="372">
        <v>12550</v>
      </c>
    </row>
    <row r="699" spans="9:12" ht="13.5" thickBot="1">
      <c r="I699" s="373" t="s">
        <v>21</v>
      </c>
      <c r="J699" s="374">
        <f>SUM(J694:J698)</f>
        <v>106</v>
      </c>
      <c r="K699" s="375">
        <f>SUM(K694:K698)</f>
        <v>151010</v>
      </c>
    </row>
    <row r="700" spans="9:12" ht="13.5" thickBot="1"/>
    <row r="701" spans="9:12">
      <c r="I701" s="368">
        <v>2010</v>
      </c>
      <c r="J701" s="369" t="s">
        <v>505</v>
      </c>
      <c r="K701" s="370" t="s">
        <v>506</v>
      </c>
    </row>
    <row r="702" spans="9:12">
      <c r="I702" s="371" t="s">
        <v>62</v>
      </c>
      <c r="J702" s="366">
        <v>45</v>
      </c>
      <c r="K702" s="372">
        <v>63948</v>
      </c>
    </row>
    <row r="703" spans="9:12">
      <c r="I703" s="371" t="s">
        <v>501</v>
      </c>
      <c r="J703" s="366">
        <v>21</v>
      </c>
      <c r="K703" s="372">
        <v>32551</v>
      </c>
    </row>
    <row r="704" spans="9:12">
      <c r="I704" s="371" t="s">
        <v>502</v>
      </c>
      <c r="J704" s="366">
        <v>23</v>
      </c>
      <c r="K704" s="372">
        <v>43216</v>
      </c>
    </row>
    <row r="705" spans="9:11">
      <c r="I705" s="371" t="s">
        <v>503</v>
      </c>
      <c r="J705" s="366">
        <v>20</v>
      </c>
      <c r="K705" s="372">
        <v>45699</v>
      </c>
    </row>
    <row r="706" spans="9:11">
      <c r="I706" s="371" t="s">
        <v>504</v>
      </c>
      <c r="J706" s="366">
        <v>1</v>
      </c>
      <c r="K706" s="372">
        <v>12550</v>
      </c>
    </row>
    <row r="707" spans="9:11" ht="13.5" thickBot="1">
      <c r="I707" s="373" t="s">
        <v>21</v>
      </c>
      <c r="J707" s="374">
        <f>SUM(J702:J706)</f>
        <v>110</v>
      </c>
      <c r="K707" s="375">
        <f>SUM(K702:K706)</f>
        <v>197964</v>
      </c>
    </row>
    <row r="708" spans="9:11" ht="13.5" thickBot="1"/>
    <row r="709" spans="9:11">
      <c r="I709" s="368">
        <v>2011</v>
      </c>
      <c r="J709" s="369" t="s">
        <v>505</v>
      </c>
      <c r="K709" s="370" t="s">
        <v>506</v>
      </c>
    </row>
    <row r="710" spans="9:11">
      <c r="I710" s="371" t="s">
        <v>62</v>
      </c>
      <c r="J710" s="366">
        <v>58</v>
      </c>
      <c r="K710" s="372">
        <v>94348</v>
      </c>
    </row>
    <row r="711" spans="9:11">
      <c r="I711" s="371" t="s">
        <v>501</v>
      </c>
      <c r="J711" s="366">
        <v>22</v>
      </c>
      <c r="K711" s="372">
        <v>39480</v>
      </c>
    </row>
    <row r="712" spans="9:11">
      <c r="I712" s="371" t="s">
        <v>502</v>
      </c>
      <c r="J712" s="366">
        <v>27</v>
      </c>
      <c r="K712" s="372">
        <v>72194</v>
      </c>
    </row>
    <row r="713" spans="9:11">
      <c r="I713" s="371" t="s">
        <v>503</v>
      </c>
      <c r="J713" s="366">
        <v>17</v>
      </c>
      <c r="K713" s="372">
        <v>30561</v>
      </c>
    </row>
    <row r="714" spans="9:11">
      <c r="I714" s="371" t="s">
        <v>504</v>
      </c>
      <c r="J714" s="366">
        <v>1</v>
      </c>
      <c r="K714" s="372">
        <v>12550</v>
      </c>
    </row>
    <row r="715" spans="9:11" ht="13.5" thickBot="1">
      <c r="I715" s="373" t="s">
        <v>21</v>
      </c>
      <c r="J715" s="374">
        <f>SUM(J710:J714)</f>
        <v>125</v>
      </c>
      <c r="K715" s="375">
        <f>SUM(K710:K714)</f>
        <v>249133</v>
      </c>
    </row>
    <row r="716" spans="9:11" ht="13.5" thickBot="1"/>
    <row r="717" spans="9:11">
      <c r="I717" s="368">
        <v>2012</v>
      </c>
      <c r="J717" s="369" t="s">
        <v>505</v>
      </c>
      <c r="K717" s="370" t="s">
        <v>506</v>
      </c>
    </row>
    <row r="718" spans="9:11">
      <c r="I718" s="371" t="s">
        <v>62</v>
      </c>
      <c r="J718" s="366">
        <v>81</v>
      </c>
      <c r="K718" s="372">
        <v>94348</v>
      </c>
    </row>
    <row r="719" spans="9:11">
      <c r="I719" s="371" t="s">
        <v>501</v>
      </c>
      <c r="J719" s="366">
        <v>4</v>
      </c>
      <c r="K719" s="372">
        <v>39480</v>
      </c>
    </row>
    <row r="720" spans="9:11">
      <c r="I720" s="371" t="s">
        <v>502</v>
      </c>
      <c r="J720" s="366">
        <v>27</v>
      </c>
      <c r="K720" s="372">
        <v>72194</v>
      </c>
    </row>
    <row r="721" spans="9:11">
      <c r="I721" s="371" t="s">
        <v>503</v>
      </c>
      <c r="J721" s="366">
        <v>24</v>
      </c>
      <c r="K721" s="372">
        <v>30561</v>
      </c>
    </row>
    <row r="722" spans="9:11" hidden="1">
      <c r="I722" s="371" t="s">
        <v>504</v>
      </c>
      <c r="J722" s="366">
        <v>0</v>
      </c>
      <c r="K722" s="372">
        <v>12550</v>
      </c>
    </row>
    <row r="723" spans="9:11" ht="13.5" thickBot="1">
      <c r="I723" s="373" t="s">
        <v>21</v>
      </c>
      <c r="J723" s="374">
        <f>SUM(J718:J722)</f>
        <v>136</v>
      </c>
      <c r="K723" s="375">
        <f>SUM(K718:K722)</f>
        <v>249133</v>
      </c>
    </row>
    <row r="725" spans="9:11" ht="13.5" thickBot="1"/>
    <row r="726" spans="9:11">
      <c r="I726" s="475">
        <v>2013</v>
      </c>
      <c r="J726" s="476" t="s">
        <v>505</v>
      </c>
      <c r="K726" s="477" t="s">
        <v>506</v>
      </c>
    </row>
    <row r="727" spans="9:11">
      <c r="I727" s="478" t="s">
        <v>503</v>
      </c>
      <c r="J727" s="479">
        <v>32</v>
      </c>
      <c r="K727" s="480">
        <v>15239515.5</v>
      </c>
    </row>
    <row r="728" spans="9:11">
      <c r="I728" s="478" t="s">
        <v>501</v>
      </c>
      <c r="J728" s="479">
        <v>6</v>
      </c>
      <c r="K728" s="481">
        <v>8563150</v>
      </c>
    </row>
    <row r="729" spans="9:11">
      <c r="I729" s="478" t="s">
        <v>502</v>
      </c>
      <c r="J729" s="479">
        <v>20</v>
      </c>
      <c r="K729" s="482">
        <v>18087557.609999999</v>
      </c>
    </row>
    <row r="730" spans="9:11">
      <c r="I730" s="478" t="s">
        <v>62</v>
      </c>
      <c r="J730" s="479">
        <v>84</v>
      </c>
      <c r="K730" s="482">
        <v>60791567.600000001</v>
      </c>
    </row>
    <row r="731" spans="9:11" ht="13.5" thickBot="1">
      <c r="I731" s="483" t="s">
        <v>21</v>
      </c>
      <c r="J731" s="479">
        <v>142</v>
      </c>
      <c r="K731" s="484">
        <v>102681790.71000001</v>
      </c>
    </row>
  </sheetData>
  <mergeCells count="9">
    <mergeCell ref="Q389:V389"/>
    <mergeCell ref="N401:S401"/>
    <mergeCell ref="I686:I687"/>
    <mergeCell ref="L686:L687"/>
    <mergeCell ref="J686:J687"/>
    <mergeCell ref="K686:K687"/>
    <mergeCell ref="I677:I678"/>
    <mergeCell ref="J677:J678"/>
    <mergeCell ref="L677:L678"/>
  </mergeCells>
  <phoneticPr fontId="5" type="noConversion"/>
  <pageMargins left="0.25" right="0.28000000000000003" top="1" bottom="1" header="0" footer="0"/>
  <pageSetup scale="85" orientation="landscape" horizontalDpi="4294967293" r:id="rId1"/>
  <headerFooter alignWithMargins="0"/>
  <ignoredErrors>
    <ignoredError sqref="J21:P21 J93:Q93 R21 J571:K571 J584:K584 J594:K594 M571 M584 M594:T594 J49:W61 O584:T584 J36:W41" numberStoredAsText="1"/>
    <ignoredError sqref="Q27 S27:U27 T591 S86:W86 W331:X331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7" enableFormatConditionsCalculation="0">
    <tabColor indexed="10"/>
  </sheetPr>
  <dimension ref="A1:K23"/>
  <sheetViews>
    <sheetView zoomScale="40" workbookViewId="0">
      <selection activeCell="D15" sqref="D15"/>
    </sheetView>
  </sheetViews>
  <sheetFormatPr baseColWidth="10" defaultRowHeight="12.75"/>
  <cols>
    <col min="1" max="1" width="18.5703125" customWidth="1"/>
  </cols>
  <sheetData>
    <row r="1" spans="1:11" ht="15" thickBot="1">
      <c r="A1" s="497" t="s">
        <v>231</v>
      </c>
      <c r="B1" s="504">
        <v>2001</v>
      </c>
      <c r="C1" s="505"/>
      <c r="D1" s="504">
        <v>2002</v>
      </c>
      <c r="E1" s="505"/>
      <c r="F1" s="504">
        <v>2003</v>
      </c>
      <c r="G1" s="505"/>
      <c r="H1" s="499">
        <v>2004</v>
      </c>
      <c r="I1" s="500"/>
      <c r="J1" s="499">
        <v>2005</v>
      </c>
      <c r="K1" s="500"/>
    </row>
    <row r="2" spans="1:11" ht="14.25">
      <c r="A2" s="503"/>
      <c r="B2" s="101" t="s">
        <v>232</v>
      </c>
      <c r="C2" s="101" t="s">
        <v>234</v>
      </c>
      <c r="D2" s="101" t="s">
        <v>232</v>
      </c>
      <c r="E2" s="101" t="s">
        <v>234</v>
      </c>
      <c r="F2" s="101" t="s">
        <v>232</v>
      </c>
      <c r="G2" s="101" t="s">
        <v>234</v>
      </c>
      <c r="H2" s="101" t="s">
        <v>232</v>
      </c>
      <c r="I2" s="101" t="s">
        <v>234</v>
      </c>
      <c r="J2" s="101" t="s">
        <v>232</v>
      </c>
      <c r="K2" s="101" t="s">
        <v>234</v>
      </c>
    </row>
    <row r="3" spans="1:11" ht="15" thickBot="1">
      <c r="A3" s="498"/>
      <c r="B3" s="102" t="s">
        <v>233</v>
      </c>
      <c r="C3" s="102" t="s">
        <v>235</v>
      </c>
      <c r="D3" s="102" t="s">
        <v>233</v>
      </c>
      <c r="E3" s="102" t="s">
        <v>235</v>
      </c>
      <c r="F3" s="102" t="s">
        <v>233</v>
      </c>
      <c r="G3" s="102" t="s">
        <v>235</v>
      </c>
      <c r="H3" s="102" t="s">
        <v>233</v>
      </c>
      <c r="I3" s="102" t="s">
        <v>235</v>
      </c>
      <c r="J3" s="102" t="s">
        <v>233</v>
      </c>
      <c r="K3" s="102" t="s">
        <v>235</v>
      </c>
    </row>
    <row r="4" spans="1:11" ht="184.5" customHeight="1">
      <c r="A4" s="501" t="s">
        <v>236</v>
      </c>
      <c r="B4" s="103" t="s">
        <v>237</v>
      </c>
      <c r="C4" s="103" t="s">
        <v>238</v>
      </c>
      <c r="D4" s="103" t="s">
        <v>239</v>
      </c>
      <c r="E4" s="103" t="s">
        <v>240</v>
      </c>
      <c r="F4" s="103" t="s">
        <v>241</v>
      </c>
      <c r="G4" s="103" t="s">
        <v>242</v>
      </c>
      <c r="H4" s="103" t="s">
        <v>240</v>
      </c>
      <c r="I4" s="103" t="s">
        <v>243</v>
      </c>
      <c r="J4" s="101" t="s">
        <v>244</v>
      </c>
      <c r="K4" s="497" t="s">
        <v>245</v>
      </c>
    </row>
    <row r="5" spans="1:11" ht="15" thickBot="1">
      <c r="A5" s="502"/>
      <c r="B5" s="104">
        <v>0.9</v>
      </c>
      <c r="C5" s="104">
        <v>1</v>
      </c>
      <c r="D5" s="104">
        <v>1</v>
      </c>
      <c r="E5" s="104">
        <v>1.1000000000000001</v>
      </c>
      <c r="F5" s="104">
        <v>1.1000000000000001</v>
      </c>
      <c r="G5" s="104">
        <v>1.4</v>
      </c>
      <c r="H5" s="104">
        <v>1.1000000000000001</v>
      </c>
      <c r="I5" s="104">
        <v>1.6</v>
      </c>
      <c r="J5" s="104">
        <v>1.7</v>
      </c>
      <c r="K5" s="498"/>
    </row>
    <row r="6" spans="1:11" ht="184.5" customHeight="1">
      <c r="A6" s="495" t="s">
        <v>246</v>
      </c>
      <c r="B6" s="103" t="s">
        <v>247</v>
      </c>
      <c r="C6" s="103" t="s">
        <v>248</v>
      </c>
      <c r="D6" s="103" t="s">
        <v>239</v>
      </c>
      <c r="E6" s="103" t="s">
        <v>249</v>
      </c>
      <c r="F6" s="103" t="s">
        <v>250</v>
      </c>
      <c r="G6" s="103" t="s">
        <v>251</v>
      </c>
      <c r="H6" s="103" t="s">
        <v>252</v>
      </c>
      <c r="I6" s="103" t="s">
        <v>253</v>
      </c>
      <c r="J6" s="101" t="s">
        <v>254</v>
      </c>
      <c r="K6" s="101" t="s">
        <v>255</v>
      </c>
    </row>
    <row r="7" spans="1:11" ht="15" thickBot="1">
      <c r="A7" s="496"/>
      <c r="B7" s="104">
        <v>0.6</v>
      </c>
      <c r="C7" s="104">
        <v>1.1000000000000001</v>
      </c>
      <c r="D7" s="104">
        <v>1</v>
      </c>
      <c r="E7" s="104">
        <v>1</v>
      </c>
      <c r="F7" s="104">
        <v>1</v>
      </c>
      <c r="G7" s="104">
        <v>1.4</v>
      </c>
      <c r="H7" s="104">
        <v>1</v>
      </c>
      <c r="I7" s="104">
        <v>2</v>
      </c>
      <c r="J7" s="104">
        <v>1.1000000000000001</v>
      </c>
      <c r="K7" s="104">
        <v>1.4</v>
      </c>
    </row>
    <row r="8" spans="1:11" ht="84.75" customHeight="1">
      <c r="A8" s="495" t="s">
        <v>114</v>
      </c>
      <c r="B8" s="103" t="s">
        <v>256</v>
      </c>
      <c r="C8" s="103" t="s">
        <v>257</v>
      </c>
      <c r="D8" s="103" t="s">
        <v>258</v>
      </c>
      <c r="E8" s="103" t="s">
        <v>259</v>
      </c>
      <c r="F8" s="103" t="s">
        <v>260</v>
      </c>
      <c r="G8" s="103" t="s">
        <v>261</v>
      </c>
      <c r="H8" s="103" t="s">
        <v>262</v>
      </c>
      <c r="I8" s="103" t="s">
        <v>263</v>
      </c>
      <c r="J8" s="497" t="s">
        <v>264</v>
      </c>
      <c r="K8" s="497" t="s">
        <v>265</v>
      </c>
    </row>
    <row r="9" spans="1:11" ht="15" thickBot="1">
      <c r="A9" s="496"/>
      <c r="B9" s="104">
        <v>63.2</v>
      </c>
      <c r="C9" s="104">
        <v>55.3</v>
      </c>
      <c r="D9" s="104">
        <v>60</v>
      </c>
      <c r="E9" s="104">
        <v>67.599999999999994</v>
      </c>
      <c r="F9" s="104">
        <v>64.3</v>
      </c>
      <c r="G9" s="104">
        <v>80.599999999999994</v>
      </c>
      <c r="H9" s="104">
        <v>81.099999999999994</v>
      </c>
      <c r="I9" s="104">
        <v>97.1</v>
      </c>
      <c r="J9" s="498"/>
      <c r="K9" s="498"/>
    </row>
    <row r="10" spans="1:11" ht="129" thickBot="1">
      <c r="A10" s="105" t="s">
        <v>123</v>
      </c>
      <c r="B10" s="104" t="s">
        <v>266</v>
      </c>
      <c r="C10" s="104" t="s">
        <v>267</v>
      </c>
      <c r="D10" s="104" t="s">
        <v>268</v>
      </c>
      <c r="E10" s="104" t="s">
        <v>269</v>
      </c>
      <c r="F10" s="104" t="s">
        <v>270</v>
      </c>
      <c r="G10" s="104" t="s">
        <v>271</v>
      </c>
      <c r="H10" s="104" t="s">
        <v>272</v>
      </c>
      <c r="I10" s="104" t="s">
        <v>273</v>
      </c>
      <c r="J10" s="102" t="s">
        <v>274</v>
      </c>
      <c r="K10" s="102" t="s">
        <v>275</v>
      </c>
    </row>
    <row r="11" spans="1:11" ht="241.5" customHeight="1">
      <c r="A11" s="495" t="s">
        <v>131</v>
      </c>
      <c r="B11" s="103" t="s">
        <v>276</v>
      </c>
      <c r="C11" s="103" t="s">
        <v>278</v>
      </c>
      <c r="D11" s="501" t="s">
        <v>134</v>
      </c>
      <c r="E11" s="103" t="s">
        <v>280</v>
      </c>
      <c r="F11" s="103" t="s">
        <v>282</v>
      </c>
      <c r="G11" s="103" t="s">
        <v>284</v>
      </c>
      <c r="H11" s="103" t="s">
        <v>286</v>
      </c>
      <c r="I11" s="103" t="s">
        <v>287</v>
      </c>
      <c r="J11" s="497" t="s">
        <v>288</v>
      </c>
      <c r="K11" s="497" t="s">
        <v>289</v>
      </c>
    </row>
    <row r="12" spans="1:11" ht="15" thickBot="1">
      <c r="A12" s="496"/>
      <c r="B12" s="104" t="s">
        <v>277</v>
      </c>
      <c r="C12" s="104" t="s">
        <v>279</v>
      </c>
      <c r="D12" s="502"/>
      <c r="E12" s="104" t="s">
        <v>281</v>
      </c>
      <c r="F12" s="104" t="s">
        <v>283</v>
      </c>
      <c r="G12" s="104" t="s">
        <v>285</v>
      </c>
      <c r="H12" s="104" t="s">
        <v>283</v>
      </c>
      <c r="I12" s="104" t="s">
        <v>283</v>
      </c>
      <c r="J12" s="498"/>
      <c r="K12" s="498"/>
    </row>
    <row r="13" spans="1:11" ht="284.25" customHeight="1">
      <c r="A13" s="495" t="s">
        <v>138</v>
      </c>
      <c r="B13" s="501" t="s">
        <v>290</v>
      </c>
      <c r="C13" s="103" t="s">
        <v>291</v>
      </c>
      <c r="D13" s="103" t="s">
        <v>292</v>
      </c>
      <c r="E13" s="103" t="s">
        <v>293</v>
      </c>
      <c r="F13" s="103" t="s">
        <v>294</v>
      </c>
      <c r="G13" s="103" t="s">
        <v>295</v>
      </c>
      <c r="H13" s="103" t="s">
        <v>296</v>
      </c>
      <c r="I13" s="103" t="s">
        <v>297</v>
      </c>
      <c r="J13" s="101" t="s">
        <v>298</v>
      </c>
      <c r="K13" s="101" t="s">
        <v>299</v>
      </c>
    </row>
    <row r="14" spans="1:11" ht="15" thickBot="1">
      <c r="A14" s="496"/>
      <c r="B14" s="502"/>
      <c r="C14" s="104">
        <v>56</v>
      </c>
      <c r="D14" s="104">
        <v>62.9</v>
      </c>
      <c r="E14" s="104">
        <v>61.4</v>
      </c>
      <c r="F14" s="104">
        <v>72.2</v>
      </c>
      <c r="G14" s="104">
        <v>55.6</v>
      </c>
      <c r="H14" s="104">
        <v>63.2</v>
      </c>
      <c r="I14" s="104">
        <v>47.4</v>
      </c>
      <c r="J14" s="102">
        <v>78.3</v>
      </c>
      <c r="K14" s="104">
        <v>65.2</v>
      </c>
    </row>
    <row r="15" spans="1:11" ht="284.25" customHeight="1">
      <c r="A15" s="495" t="s">
        <v>142</v>
      </c>
      <c r="B15" s="501" t="s">
        <v>290</v>
      </c>
      <c r="C15" s="103" t="s">
        <v>300</v>
      </c>
      <c r="D15" s="103" t="s">
        <v>301</v>
      </c>
      <c r="E15" s="103" t="s">
        <v>302</v>
      </c>
      <c r="F15" s="103" t="s">
        <v>303</v>
      </c>
      <c r="G15" s="103" t="s">
        <v>303</v>
      </c>
      <c r="H15" s="103" t="s">
        <v>304</v>
      </c>
      <c r="I15" s="103" t="s">
        <v>304</v>
      </c>
      <c r="J15" s="101" t="s">
        <v>305</v>
      </c>
      <c r="K15" s="101" t="s">
        <v>306</v>
      </c>
    </row>
    <row r="16" spans="1:11" ht="15" thickBot="1">
      <c r="A16" s="496"/>
      <c r="B16" s="502"/>
      <c r="C16" s="104">
        <v>57.1</v>
      </c>
      <c r="D16" s="104">
        <v>48.6</v>
      </c>
      <c r="E16" s="104">
        <v>57.1</v>
      </c>
      <c r="F16" s="104">
        <v>56.3</v>
      </c>
      <c r="G16" s="104">
        <v>56.3</v>
      </c>
      <c r="H16" s="104">
        <v>58.3</v>
      </c>
      <c r="I16" s="104">
        <v>58.3</v>
      </c>
      <c r="J16" s="104">
        <v>76.2</v>
      </c>
      <c r="K16" s="102">
        <v>66.7</v>
      </c>
    </row>
    <row r="17" spans="1:11" ht="126.75" customHeight="1">
      <c r="A17" s="495" t="s">
        <v>145</v>
      </c>
      <c r="B17" s="106" t="s">
        <v>307</v>
      </c>
      <c r="C17" s="106" t="s">
        <v>307</v>
      </c>
      <c r="D17" s="106" t="s">
        <v>308</v>
      </c>
      <c r="E17" s="507" t="s">
        <v>309</v>
      </c>
      <c r="F17" s="106" t="s">
        <v>310</v>
      </c>
      <c r="G17" s="106" t="s">
        <v>311</v>
      </c>
      <c r="H17" s="106" t="s">
        <v>312</v>
      </c>
      <c r="I17" s="106" t="s">
        <v>313</v>
      </c>
      <c r="J17" s="497" t="s">
        <v>314</v>
      </c>
      <c r="K17" s="497" t="s">
        <v>315</v>
      </c>
    </row>
    <row r="18" spans="1:11" ht="15.75" thickBot="1">
      <c r="A18" s="496"/>
      <c r="B18" s="107">
        <v>86.8</v>
      </c>
      <c r="C18" s="107">
        <v>86.8</v>
      </c>
      <c r="D18" s="107">
        <v>87.5</v>
      </c>
      <c r="E18" s="508"/>
      <c r="F18" s="107">
        <v>92.9</v>
      </c>
      <c r="G18" s="107">
        <v>94.4</v>
      </c>
      <c r="H18" s="107">
        <v>91.9</v>
      </c>
      <c r="I18" s="107">
        <v>97.1</v>
      </c>
      <c r="J18" s="498"/>
      <c r="K18" s="498"/>
    </row>
    <row r="19" spans="1:11" ht="156" customHeight="1">
      <c r="A19" s="495" t="s">
        <v>151</v>
      </c>
      <c r="B19" s="101" t="s">
        <v>316</v>
      </c>
      <c r="C19" s="101" t="s">
        <v>316</v>
      </c>
      <c r="D19" s="101" t="s">
        <v>316</v>
      </c>
      <c r="E19" s="101" t="s">
        <v>316</v>
      </c>
      <c r="F19" s="101" t="s">
        <v>316</v>
      </c>
      <c r="G19" s="101" t="s">
        <v>316</v>
      </c>
      <c r="H19" s="101" t="s">
        <v>316</v>
      </c>
      <c r="I19" s="101" t="s">
        <v>316</v>
      </c>
      <c r="J19" s="497" t="s">
        <v>153</v>
      </c>
      <c r="K19" s="497" t="s">
        <v>318</v>
      </c>
    </row>
    <row r="20" spans="1:11" ht="14.25">
      <c r="A20" s="506"/>
      <c r="B20" s="101" t="s">
        <v>317</v>
      </c>
      <c r="C20" s="101" t="s">
        <v>317</v>
      </c>
      <c r="D20" s="101" t="s">
        <v>317</v>
      </c>
      <c r="E20" s="101" t="s">
        <v>317</v>
      </c>
      <c r="F20" s="101" t="s">
        <v>317</v>
      </c>
      <c r="G20" s="101" t="s">
        <v>317</v>
      </c>
      <c r="H20" s="101" t="s">
        <v>317</v>
      </c>
      <c r="I20" s="101" t="s">
        <v>317</v>
      </c>
      <c r="J20" s="503"/>
      <c r="K20" s="503"/>
    </row>
    <row r="21" spans="1:11" ht="15" thickBot="1">
      <c r="A21" s="496"/>
      <c r="B21" s="102">
        <v>100</v>
      </c>
      <c r="C21" s="102">
        <v>100</v>
      </c>
      <c r="D21" s="102">
        <v>100</v>
      </c>
      <c r="E21" s="102">
        <v>100</v>
      </c>
      <c r="F21" s="102">
        <v>100</v>
      </c>
      <c r="G21" s="102">
        <v>100</v>
      </c>
      <c r="H21" s="102">
        <v>100</v>
      </c>
      <c r="I21" s="102">
        <v>100</v>
      </c>
      <c r="J21" s="498"/>
      <c r="K21" s="498"/>
    </row>
    <row r="22" spans="1:11" ht="45.75" thickBot="1">
      <c r="A22" s="105" t="s">
        <v>319</v>
      </c>
      <c r="B22" s="102" t="s">
        <v>320</v>
      </c>
      <c r="C22" s="102" t="s">
        <v>321</v>
      </c>
      <c r="D22" s="102" t="s">
        <v>322</v>
      </c>
      <c r="E22" s="102" t="s">
        <v>323</v>
      </c>
      <c r="F22" s="102" t="s">
        <v>324</v>
      </c>
      <c r="G22" s="102" t="s">
        <v>325</v>
      </c>
      <c r="H22" s="102" t="s">
        <v>326</v>
      </c>
      <c r="I22" s="102" t="s">
        <v>327</v>
      </c>
      <c r="J22" s="102" t="s">
        <v>328</v>
      </c>
      <c r="K22" s="102" t="s">
        <v>329</v>
      </c>
    </row>
    <row r="23" spans="1:11" ht="60" thickBot="1">
      <c r="A23" s="105" t="s">
        <v>330</v>
      </c>
      <c r="B23" s="102" t="s">
        <v>331</v>
      </c>
      <c r="C23" s="102" t="s">
        <v>332</v>
      </c>
      <c r="D23" s="102" t="s">
        <v>165</v>
      </c>
      <c r="E23" s="102" t="s">
        <v>166</v>
      </c>
      <c r="F23" s="102" t="s">
        <v>167</v>
      </c>
      <c r="G23" s="102" t="s">
        <v>168</v>
      </c>
      <c r="H23" s="102" t="s">
        <v>197</v>
      </c>
      <c r="I23" s="102" t="s">
        <v>95</v>
      </c>
      <c r="J23" s="102" t="s">
        <v>333</v>
      </c>
      <c r="K23" s="102" t="s">
        <v>333</v>
      </c>
    </row>
  </sheetData>
  <mergeCells count="27">
    <mergeCell ref="K19:K21"/>
    <mergeCell ref="A11:A12"/>
    <mergeCell ref="D11:D12"/>
    <mergeCell ref="J11:J12"/>
    <mergeCell ref="K11:K12"/>
    <mergeCell ref="K17:K18"/>
    <mergeCell ref="A13:A14"/>
    <mergeCell ref="B13:B14"/>
    <mergeCell ref="A15:A16"/>
    <mergeCell ref="B15:B16"/>
    <mergeCell ref="A19:A21"/>
    <mergeCell ref="A17:A18"/>
    <mergeCell ref="E17:E18"/>
    <mergeCell ref="J17:J18"/>
    <mergeCell ref="J19:J21"/>
    <mergeCell ref="A6:A7"/>
    <mergeCell ref="A8:A9"/>
    <mergeCell ref="J8:J9"/>
    <mergeCell ref="H1:I1"/>
    <mergeCell ref="J1:K1"/>
    <mergeCell ref="A4:A5"/>
    <mergeCell ref="K4:K5"/>
    <mergeCell ref="A1:A3"/>
    <mergeCell ref="B1:C1"/>
    <mergeCell ref="D1:E1"/>
    <mergeCell ref="F1:G1"/>
    <mergeCell ref="K8:K9"/>
  </mergeCells>
  <phoneticPr fontId="5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18" enableFormatConditionsCalculation="0">
    <tabColor indexed="10"/>
  </sheetPr>
  <dimension ref="B2:T111"/>
  <sheetViews>
    <sheetView topLeftCell="B50" zoomScale="70" workbookViewId="0">
      <pane xSplit="2" ySplit="15" topLeftCell="D65" activePane="bottomRight" state="frozen"/>
      <selection activeCell="B50" sqref="B50"/>
      <selection pane="topRight" activeCell="D50" sqref="D50"/>
      <selection pane="bottomLeft" activeCell="B65" sqref="B65"/>
      <selection pane="bottomRight" activeCell="I73" sqref="I73"/>
    </sheetView>
  </sheetViews>
  <sheetFormatPr baseColWidth="10" defaultRowHeight="15"/>
  <cols>
    <col min="1" max="1" width="1.85546875" style="15" customWidth="1"/>
    <col min="2" max="2" width="63.7109375" style="15" customWidth="1"/>
    <col min="3" max="3" width="67.42578125" style="15" customWidth="1"/>
    <col min="4" max="4" width="18" style="16" customWidth="1"/>
    <col min="5" max="5" width="15.140625" style="15" customWidth="1"/>
    <col min="6" max="6" width="13.5703125" style="15" customWidth="1"/>
    <col min="7" max="7" width="18.5703125" style="15" customWidth="1"/>
    <col min="8" max="8" width="16.7109375" style="15" customWidth="1"/>
    <col min="9" max="9" width="23.140625" style="15" customWidth="1"/>
    <col min="10" max="10" width="20" style="15" customWidth="1"/>
    <col min="11" max="11" width="15.7109375" style="15" customWidth="1"/>
    <col min="12" max="12" width="15" style="15" customWidth="1"/>
    <col min="13" max="13" width="16.5703125" customWidth="1"/>
    <col min="14" max="14" width="13.7109375" customWidth="1"/>
    <col min="15" max="15" width="15.28515625" bestFit="1" customWidth="1"/>
    <col min="16" max="16" width="18.5703125" bestFit="1" customWidth="1"/>
    <col min="17" max="20" width="13.7109375" customWidth="1"/>
    <col min="21" max="16384" width="11.42578125" style="15"/>
  </cols>
  <sheetData>
    <row r="2" spans="2:12" ht="15.75">
      <c r="B2" s="23" t="s">
        <v>96</v>
      </c>
    </row>
    <row r="3" spans="2:12" ht="15.75">
      <c r="B3" s="24" t="s">
        <v>97</v>
      </c>
      <c r="F3" s="17"/>
    </row>
    <row r="4" spans="2:12" ht="15.75" thickBot="1">
      <c r="H4" s="17"/>
    </row>
    <row r="5" spans="2:12" ht="16.5" thickTop="1">
      <c r="B5" s="522" t="s">
        <v>98</v>
      </c>
      <c r="C5" s="524" t="s">
        <v>84</v>
      </c>
      <c r="D5" s="510" t="s">
        <v>99</v>
      </c>
      <c r="E5" s="512">
        <v>2001</v>
      </c>
      <c r="F5" s="513"/>
      <c r="G5" s="520">
        <v>2002</v>
      </c>
      <c r="H5" s="521"/>
      <c r="I5" s="517">
        <v>2003</v>
      </c>
      <c r="J5" s="518"/>
      <c r="L5" s="24"/>
    </row>
    <row r="6" spans="2:12" ht="16.5" thickBot="1">
      <c r="B6" s="523"/>
      <c r="C6" s="525"/>
      <c r="D6" s="511"/>
      <c r="E6" s="117" t="s">
        <v>100</v>
      </c>
      <c r="F6" s="118" t="s">
        <v>101</v>
      </c>
      <c r="G6" s="119" t="s">
        <v>100</v>
      </c>
      <c r="H6" s="124" t="s">
        <v>101</v>
      </c>
      <c r="I6" s="117" t="s">
        <v>102</v>
      </c>
      <c r="J6" s="118" t="s">
        <v>101</v>
      </c>
      <c r="L6" s="24"/>
    </row>
    <row r="7" spans="2:12" ht="30.75" thickTop="1">
      <c r="B7" s="529" t="s">
        <v>103</v>
      </c>
      <c r="C7" s="128" t="s">
        <v>104</v>
      </c>
      <c r="D7" s="113" t="s">
        <v>85</v>
      </c>
      <c r="E7" s="514" t="s">
        <v>105</v>
      </c>
      <c r="F7" s="515" t="s">
        <v>106</v>
      </c>
      <c r="G7" s="516" t="s">
        <v>107</v>
      </c>
      <c r="H7" s="519" t="s">
        <v>108</v>
      </c>
      <c r="I7" s="110" t="s">
        <v>109</v>
      </c>
      <c r="J7" s="111" t="s">
        <v>110</v>
      </c>
    </row>
    <row r="8" spans="2:12" ht="30">
      <c r="B8" s="526"/>
      <c r="C8" s="129" t="s">
        <v>111</v>
      </c>
      <c r="D8" s="114" t="s">
        <v>85</v>
      </c>
      <c r="E8" s="514"/>
      <c r="F8" s="515"/>
      <c r="G8" s="516"/>
      <c r="H8" s="519"/>
      <c r="I8" s="110" t="s">
        <v>112</v>
      </c>
      <c r="J8" s="111" t="s">
        <v>113</v>
      </c>
    </row>
    <row r="9" spans="2:12" ht="30">
      <c r="B9" s="527"/>
      <c r="C9" s="129" t="s">
        <v>114</v>
      </c>
      <c r="D9" s="115" t="s">
        <v>115</v>
      </c>
      <c r="E9" s="110" t="s">
        <v>116</v>
      </c>
      <c r="F9" s="111" t="s">
        <v>117</v>
      </c>
      <c r="G9" s="120" t="s">
        <v>118</v>
      </c>
      <c r="H9" s="125" t="s">
        <v>119</v>
      </c>
      <c r="I9" s="110" t="s">
        <v>120</v>
      </c>
      <c r="J9" s="111" t="s">
        <v>121</v>
      </c>
    </row>
    <row r="10" spans="2:12" ht="45">
      <c r="B10" s="526" t="s">
        <v>122</v>
      </c>
      <c r="C10" s="130" t="s">
        <v>123</v>
      </c>
      <c r="D10" s="116" t="s">
        <v>124</v>
      </c>
      <c r="E10" s="110" t="s">
        <v>125</v>
      </c>
      <c r="F10" s="111" t="s">
        <v>126</v>
      </c>
      <c r="G10" s="120" t="s">
        <v>127</v>
      </c>
      <c r="H10" s="125" t="s">
        <v>128</v>
      </c>
      <c r="I10" s="110" t="s">
        <v>129</v>
      </c>
      <c r="J10" s="111" t="s">
        <v>130</v>
      </c>
    </row>
    <row r="11" spans="2:12" ht="45">
      <c r="B11" s="526"/>
      <c r="C11" s="130" t="s">
        <v>131</v>
      </c>
      <c r="D11" s="116" t="s">
        <v>124</v>
      </c>
      <c r="E11" s="110" t="s">
        <v>132</v>
      </c>
      <c r="F11" s="111" t="s">
        <v>133</v>
      </c>
      <c r="G11" s="120" t="s">
        <v>134</v>
      </c>
      <c r="H11" s="125" t="s">
        <v>135</v>
      </c>
      <c r="I11" s="110" t="s">
        <v>136</v>
      </c>
      <c r="J11" s="111" t="s">
        <v>137</v>
      </c>
    </row>
    <row r="12" spans="2:12" ht="45">
      <c r="B12" s="526"/>
      <c r="C12" s="130" t="s">
        <v>138</v>
      </c>
      <c r="D12" s="116" t="s">
        <v>115</v>
      </c>
      <c r="E12" s="112" t="s">
        <v>86</v>
      </c>
      <c r="F12" s="111" t="s">
        <v>139</v>
      </c>
      <c r="G12" s="121" t="s">
        <v>336</v>
      </c>
      <c r="H12" s="126" t="s">
        <v>337</v>
      </c>
      <c r="I12" s="110" t="s">
        <v>140</v>
      </c>
      <c r="J12" s="111" t="s">
        <v>141</v>
      </c>
    </row>
    <row r="13" spans="2:12" ht="45">
      <c r="B13" s="526"/>
      <c r="C13" s="130" t="s">
        <v>142</v>
      </c>
      <c r="D13" s="116" t="s">
        <v>115</v>
      </c>
      <c r="E13" s="112" t="s">
        <v>86</v>
      </c>
      <c r="F13" s="111" t="s">
        <v>143</v>
      </c>
      <c r="G13" s="121" t="s">
        <v>338</v>
      </c>
      <c r="H13" s="126" t="s">
        <v>339</v>
      </c>
      <c r="I13" s="110" t="s">
        <v>144</v>
      </c>
      <c r="J13" s="111" t="s">
        <v>144</v>
      </c>
    </row>
    <row r="14" spans="2:12" ht="30">
      <c r="B14" s="526"/>
      <c r="C14" s="129" t="s">
        <v>145</v>
      </c>
      <c r="D14" s="116" t="s">
        <v>115</v>
      </c>
      <c r="E14" s="110" t="s">
        <v>146</v>
      </c>
      <c r="F14" s="111" t="s">
        <v>146</v>
      </c>
      <c r="G14" s="120" t="s">
        <v>147</v>
      </c>
      <c r="H14" s="125" t="s">
        <v>148</v>
      </c>
      <c r="I14" s="110" t="s">
        <v>149</v>
      </c>
      <c r="J14" s="111" t="s">
        <v>150</v>
      </c>
    </row>
    <row r="15" spans="2:12" ht="32.25" customHeight="1">
      <c r="B15" s="527"/>
      <c r="C15" s="129" t="s">
        <v>151</v>
      </c>
      <c r="D15" s="116" t="s">
        <v>115</v>
      </c>
      <c r="E15" s="110" t="s">
        <v>152</v>
      </c>
      <c r="F15" s="111" t="s">
        <v>152</v>
      </c>
      <c r="G15" s="120" t="s">
        <v>153</v>
      </c>
      <c r="H15" s="125" t="s">
        <v>153</v>
      </c>
      <c r="I15" s="110" t="s">
        <v>153</v>
      </c>
      <c r="J15" s="111" t="s">
        <v>153</v>
      </c>
    </row>
    <row r="16" spans="2:12" ht="32.25" customHeight="1">
      <c r="B16" s="528" t="s">
        <v>154</v>
      </c>
      <c r="C16" s="130" t="s">
        <v>155</v>
      </c>
      <c r="D16" s="116" t="s">
        <v>115</v>
      </c>
      <c r="E16" s="110" t="s">
        <v>156</v>
      </c>
      <c r="F16" s="111" t="s">
        <v>157</v>
      </c>
      <c r="G16" s="120" t="s">
        <v>158</v>
      </c>
      <c r="H16" s="125" t="s">
        <v>159</v>
      </c>
      <c r="I16" s="110" t="s">
        <v>160</v>
      </c>
      <c r="J16" s="111" t="s">
        <v>161</v>
      </c>
    </row>
    <row r="17" spans="2:17" ht="33" customHeight="1">
      <c r="B17" s="527"/>
      <c r="C17" s="129" t="s">
        <v>162</v>
      </c>
      <c r="D17" s="116" t="s">
        <v>115</v>
      </c>
      <c r="E17" s="110" t="s">
        <v>163</v>
      </c>
      <c r="F17" s="111" t="s">
        <v>164</v>
      </c>
      <c r="G17" s="120" t="s">
        <v>165</v>
      </c>
      <c r="H17" s="125" t="s">
        <v>166</v>
      </c>
      <c r="I17" s="110" t="s">
        <v>167</v>
      </c>
      <c r="J17" s="111" t="s">
        <v>168</v>
      </c>
    </row>
    <row r="18" spans="2:17" ht="16.5" thickBot="1">
      <c r="B18" s="127" t="s">
        <v>32</v>
      </c>
      <c r="C18" s="122"/>
      <c r="D18" s="131"/>
      <c r="E18" s="122"/>
      <c r="F18" s="123"/>
      <c r="G18" s="132"/>
      <c r="H18" s="131"/>
      <c r="I18" s="122"/>
      <c r="J18" s="123"/>
    </row>
    <row r="19" spans="2:17" ht="15.75" thickTop="1">
      <c r="B19" s="15" t="s">
        <v>169</v>
      </c>
    </row>
    <row r="20" spans="2:17">
      <c r="B20" s="15" t="s">
        <v>170</v>
      </c>
    </row>
    <row r="21" spans="2:17">
      <c r="B21" s="15" t="s">
        <v>171</v>
      </c>
    </row>
    <row r="22" spans="2:17" ht="15.75" thickBot="1"/>
    <row r="23" spans="2:17" ht="16.5" thickTop="1">
      <c r="B23" s="19" t="s">
        <v>84</v>
      </c>
    </row>
    <row r="24" spans="2:17" ht="31.5">
      <c r="B24" s="34"/>
      <c r="C24" s="37" t="s">
        <v>172</v>
      </c>
      <c r="D24" s="37" t="s">
        <v>173</v>
      </c>
      <c r="E24" s="37" t="s">
        <v>174</v>
      </c>
      <c r="F24" s="37" t="s">
        <v>175</v>
      </c>
      <c r="G24" s="37" t="s">
        <v>176</v>
      </c>
      <c r="H24" s="37" t="s">
        <v>177</v>
      </c>
      <c r="I24" s="37" t="s">
        <v>178</v>
      </c>
      <c r="J24" s="37" t="s">
        <v>179</v>
      </c>
      <c r="K24" s="37" t="s">
        <v>201</v>
      </c>
      <c r="L24" s="37" t="s">
        <v>202</v>
      </c>
      <c r="M24" s="37" t="s">
        <v>221</v>
      </c>
      <c r="N24" s="37" t="s">
        <v>222</v>
      </c>
      <c r="P24" s="48"/>
      <c r="Q24" s="73"/>
    </row>
    <row r="25" spans="2:17" ht="30">
      <c r="B25" s="33" t="s">
        <v>180</v>
      </c>
      <c r="C25" s="38">
        <f>33/38</f>
        <v>0.86842105263157898</v>
      </c>
      <c r="D25" s="38">
        <f>37/38</f>
        <v>0.97368421052631582</v>
      </c>
      <c r="E25" s="38">
        <f>40/40</f>
        <v>1</v>
      </c>
      <c r="F25" s="38">
        <f>42/37</f>
        <v>1.1351351351351351</v>
      </c>
      <c r="G25" s="38">
        <f>45/42</f>
        <v>1.0714285714285714</v>
      </c>
      <c r="H25" s="38">
        <f>49/36</f>
        <v>1.3611111111111112</v>
      </c>
      <c r="I25" s="39">
        <f>42/37</f>
        <v>1.1351351351351351</v>
      </c>
      <c r="J25" s="39">
        <f>57/35</f>
        <v>1.6285714285714286</v>
      </c>
      <c r="K25" s="40">
        <f>63/37</f>
        <v>1.7027027027027026</v>
      </c>
      <c r="L25" s="41">
        <f>67/36</f>
        <v>1.8611111111111112</v>
      </c>
      <c r="M25" s="44">
        <f>80/42</f>
        <v>1.9047619047619047</v>
      </c>
      <c r="N25" s="44">
        <f>66/35</f>
        <v>1.8857142857142857</v>
      </c>
      <c r="P25" s="74"/>
      <c r="Q25" s="74"/>
    </row>
    <row r="26" spans="2:17" ht="30">
      <c r="B26" s="33" t="s">
        <v>181</v>
      </c>
      <c r="C26" s="38">
        <f>24/38</f>
        <v>0.63157894736842102</v>
      </c>
      <c r="D26" s="38">
        <f>41/38</f>
        <v>1.0789473684210527</v>
      </c>
      <c r="E26" s="38">
        <f>40/40</f>
        <v>1</v>
      </c>
      <c r="F26" s="38">
        <f>37/37</f>
        <v>1</v>
      </c>
      <c r="G26" s="38">
        <f>43/42</f>
        <v>1.0238095238095237</v>
      </c>
      <c r="H26" s="38">
        <f>52/36</f>
        <v>1.4444444444444444</v>
      </c>
      <c r="I26" s="39">
        <f>36/37</f>
        <v>0.97297297297297303</v>
      </c>
      <c r="J26" s="39">
        <f>68/35</f>
        <v>1.9428571428571428</v>
      </c>
      <c r="K26" s="40">
        <f>40/37</f>
        <v>1.0810810810810811</v>
      </c>
      <c r="L26" s="41">
        <f>59/36</f>
        <v>1.6388888888888888</v>
      </c>
      <c r="M26" s="44">
        <f>45/42</f>
        <v>1.0714285714285714</v>
      </c>
      <c r="N26" s="44">
        <f>67/35</f>
        <v>1.9142857142857144</v>
      </c>
      <c r="P26" s="48"/>
      <c r="Q26" s="73"/>
    </row>
    <row r="27" spans="2:17">
      <c r="B27" s="33" t="s">
        <v>33</v>
      </c>
      <c r="C27" s="38">
        <f>24/38*100</f>
        <v>63.157894736842103</v>
      </c>
      <c r="D27" s="38">
        <f>21/38*100</f>
        <v>55.26315789473685</v>
      </c>
      <c r="E27" s="42">
        <f>24/40*100</f>
        <v>60</v>
      </c>
      <c r="F27" s="42">
        <f>25/37*100</f>
        <v>67.567567567567565</v>
      </c>
      <c r="G27" s="38">
        <f>27/42*100</f>
        <v>64.285714285714292</v>
      </c>
      <c r="H27" s="38">
        <f>29/36*100</f>
        <v>80.555555555555557</v>
      </c>
      <c r="I27" s="39">
        <f>30/37*100</f>
        <v>81.081081081081081</v>
      </c>
      <c r="J27" s="39">
        <f>34/35*100</f>
        <v>97.142857142857139</v>
      </c>
      <c r="K27" s="40">
        <f>36/37*100</f>
        <v>97.297297297297305</v>
      </c>
      <c r="L27" s="41">
        <f>36/36*100</f>
        <v>100</v>
      </c>
      <c r="M27" s="44">
        <f>37/42*100</f>
        <v>88.095238095238088</v>
      </c>
      <c r="N27" s="44">
        <f>35/35*100</f>
        <v>100</v>
      </c>
      <c r="P27" s="74"/>
      <c r="Q27" s="74"/>
    </row>
    <row r="28" spans="2:17">
      <c r="B28" s="33" t="s">
        <v>87</v>
      </c>
      <c r="C28" s="43">
        <f>31.2/12</f>
        <v>2.6</v>
      </c>
      <c r="D28" s="38">
        <f>18.92/7</f>
        <v>2.7028571428571433</v>
      </c>
      <c r="E28" s="42">
        <f>33.8/13</f>
        <v>2.5999999999999996</v>
      </c>
      <c r="F28" s="42">
        <f>30.2/12</f>
        <v>2.5166666666666666</v>
      </c>
      <c r="G28" s="38">
        <f>44.2/17</f>
        <v>2.6</v>
      </c>
      <c r="H28" s="38">
        <f>44.7/15</f>
        <v>2.98</v>
      </c>
      <c r="I28" s="39">
        <f>42/15</f>
        <v>2.8</v>
      </c>
      <c r="J28" s="39">
        <f>43.6/15</f>
        <v>2.9066666666666667</v>
      </c>
      <c r="K28" s="40">
        <f>52.6/18</f>
        <v>2.9222222222222225</v>
      </c>
      <c r="L28" s="40">
        <f>85.8/28</f>
        <v>3.0642857142857141</v>
      </c>
      <c r="M28" s="77"/>
      <c r="N28" s="44"/>
      <c r="P28" s="48"/>
      <c r="Q28" s="73"/>
    </row>
    <row r="29" spans="2:17">
      <c r="B29" s="33" t="s">
        <v>88</v>
      </c>
      <c r="C29" s="38">
        <f>19.32/4</f>
        <v>4.83</v>
      </c>
      <c r="D29" s="38">
        <f>17.92/5</f>
        <v>3.5840000000000005</v>
      </c>
      <c r="E29" s="42">
        <f>37.6/8</f>
        <v>4.7</v>
      </c>
      <c r="F29" s="42">
        <f>46.5/11</f>
        <v>4.2272727272727275</v>
      </c>
      <c r="G29" s="38">
        <f>85.5/19</f>
        <v>4.5</v>
      </c>
      <c r="H29" s="42">
        <f>73.1/15</f>
        <v>4.8733333333333331</v>
      </c>
      <c r="I29" s="39">
        <f>40.5/9</f>
        <v>4.5</v>
      </c>
      <c r="J29" s="39">
        <f>53.6/12</f>
        <v>4.4666666666666668</v>
      </c>
      <c r="K29" s="40">
        <f>67.2/15</f>
        <v>4.4800000000000004</v>
      </c>
      <c r="L29" s="40">
        <f>55.7/13</f>
        <v>4.2846153846153845</v>
      </c>
      <c r="M29" s="77"/>
      <c r="N29" s="44"/>
      <c r="P29" s="74"/>
      <c r="Q29" s="74"/>
    </row>
    <row r="30" spans="2:17">
      <c r="B30" s="33" t="s">
        <v>89</v>
      </c>
      <c r="C30" s="42"/>
      <c r="D30" s="42"/>
      <c r="E30" s="42">
        <f>44/70*100</f>
        <v>62.857142857142854</v>
      </c>
      <c r="F30" s="42">
        <f>43/70*100</f>
        <v>61.428571428571431</v>
      </c>
      <c r="G30" s="38">
        <f>13/18*100</f>
        <v>72.222222222222214</v>
      </c>
      <c r="H30" s="38">
        <f>10/18*100</f>
        <v>55.555555555555557</v>
      </c>
      <c r="I30" s="39">
        <f>12/19*100</f>
        <v>63.157894736842103</v>
      </c>
      <c r="J30" s="39">
        <f>9/19*100</f>
        <v>47.368421052631575</v>
      </c>
      <c r="K30" s="40">
        <f>18/23*100</f>
        <v>78.260869565217391</v>
      </c>
      <c r="L30" s="44">
        <f>15/23*100</f>
        <v>65.217391304347828</v>
      </c>
      <c r="M30" s="44">
        <f>13/18*100</f>
        <v>72.222222222222214</v>
      </c>
      <c r="N30" s="44">
        <f>16/18*100</f>
        <v>88.888888888888886</v>
      </c>
      <c r="P30" s="48"/>
      <c r="Q30" s="73"/>
    </row>
    <row r="31" spans="2:17">
      <c r="B31" s="33" t="s">
        <v>90</v>
      </c>
      <c r="C31" s="42"/>
      <c r="D31" s="42"/>
      <c r="E31" s="42">
        <f>17/35*100</f>
        <v>48.571428571428569</v>
      </c>
      <c r="F31" s="42">
        <f>20/35*100</f>
        <v>57.142857142857139</v>
      </c>
      <c r="G31" s="38">
        <f>9/16*100</f>
        <v>56.25</v>
      </c>
      <c r="H31" s="42">
        <f>9/16*100</f>
        <v>56.25</v>
      </c>
      <c r="I31" s="39">
        <f>7/12*100</f>
        <v>58.333333333333336</v>
      </c>
      <c r="J31" s="39">
        <f>7/12*100</f>
        <v>58.333333333333336</v>
      </c>
      <c r="K31" s="40">
        <f>16/21*100</f>
        <v>76.19047619047619</v>
      </c>
      <c r="L31" s="45">
        <f>14/21*100</f>
        <v>66.666666666666657</v>
      </c>
      <c r="M31" s="44">
        <f>9/13*100</f>
        <v>69.230769230769226</v>
      </c>
      <c r="N31" s="44">
        <f>9/13*100</f>
        <v>69.230769230769226</v>
      </c>
      <c r="P31" s="74"/>
      <c r="Q31" s="74"/>
    </row>
    <row r="32" spans="2:17">
      <c r="B32" s="33" t="s">
        <v>91</v>
      </c>
      <c r="C32" s="42">
        <f t="shared" ref="C32:H32" si="0">4/4*100</f>
        <v>100</v>
      </c>
      <c r="D32" s="42">
        <f t="shared" si="0"/>
        <v>100</v>
      </c>
      <c r="E32" s="42">
        <f t="shared" si="0"/>
        <v>100</v>
      </c>
      <c r="F32" s="42">
        <f t="shared" si="0"/>
        <v>100</v>
      </c>
      <c r="G32" s="42">
        <f t="shared" si="0"/>
        <v>100</v>
      </c>
      <c r="H32" s="42">
        <f t="shared" si="0"/>
        <v>100</v>
      </c>
      <c r="I32" s="39">
        <f>4/4*100</f>
        <v>100</v>
      </c>
      <c r="J32" s="39">
        <f>4/4*100</f>
        <v>100</v>
      </c>
      <c r="K32" s="40">
        <f>4/4*100</f>
        <v>100</v>
      </c>
      <c r="L32" s="41">
        <f>4/4*100</f>
        <v>100</v>
      </c>
      <c r="M32" s="44">
        <f>4/4*100</f>
        <v>100</v>
      </c>
      <c r="N32" s="44">
        <f>3/4*100</f>
        <v>75</v>
      </c>
      <c r="P32" s="48"/>
      <c r="Q32" s="48"/>
    </row>
    <row r="33" spans="2:18">
      <c r="B33" s="33" t="s">
        <v>92</v>
      </c>
      <c r="C33" s="38">
        <f>5500/76597*100</f>
        <v>7.1804378761570291</v>
      </c>
      <c r="D33" s="38">
        <f>5768/74941*100</f>
        <v>7.6967214208510697</v>
      </c>
      <c r="E33" s="42">
        <f>4000/68828*100</f>
        <v>5.8115883070843264</v>
      </c>
      <c r="F33" s="42">
        <f>4386/72056*100</f>
        <v>6.0869323859220605</v>
      </c>
      <c r="G33" s="38">
        <f>6000/84713*100</f>
        <v>7.0827381865829331</v>
      </c>
      <c r="H33" s="38">
        <f>5995/93706*100</f>
        <v>6.3976693061276766</v>
      </c>
      <c r="I33" s="39">
        <f>8500/91924*100</f>
        <v>9.2467690701013883</v>
      </c>
      <c r="J33" s="39">
        <f>8434/92736*100</f>
        <v>9.0946342305037948</v>
      </c>
      <c r="K33" s="40">
        <f>11600/94454*100</f>
        <v>12.281110381773139</v>
      </c>
      <c r="L33" s="45">
        <f>12444/100755*100</f>
        <v>12.350751823730832</v>
      </c>
      <c r="M33" s="44">
        <f>13400/100737*100</f>
        <v>13.301964521476716</v>
      </c>
      <c r="N33" s="44">
        <f>14258.8/109812.4*100</f>
        <v>12.984690253559709</v>
      </c>
      <c r="P33" s="74"/>
      <c r="Q33" s="74"/>
    </row>
    <row r="34" spans="2:18" ht="30">
      <c r="B34" s="53" t="s">
        <v>200</v>
      </c>
      <c r="C34" s="35"/>
      <c r="D34" s="35"/>
      <c r="E34" s="36"/>
      <c r="F34" s="36"/>
      <c r="G34" s="35"/>
      <c r="H34" s="35"/>
      <c r="I34" s="25"/>
      <c r="J34" s="25"/>
      <c r="K34" s="40">
        <f>35/37*100</f>
        <v>94.594594594594597</v>
      </c>
      <c r="L34" s="45">
        <f>35/36*100</f>
        <v>97.222222222222214</v>
      </c>
      <c r="P34" s="48"/>
      <c r="Q34" s="73"/>
      <c r="R34" s="57" t="s">
        <v>208</v>
      </c>
    </row>
    <row r="35" spans="2:18">
      <c r="B35" s="33" t="s">
        <v>93</v>
      </c>
      <c r="C35" s="38">
        <f>8400/76597*100</f>
        <v>10.966486938130735</v>
      </c>
      <c r="D35" s="38">
        <f>4970/74941*100</f>
        <v>6.6318837485488586</v>
      </c>
      <c r="E35" s="42">
        <f>2500/68828*100</f>
        <v>3.6322426919277042</v>
      </c>
      <c r="F35" s="42">
        <f>3854/72056*100</f>
        <v>5.3486177417564118</v>
      </c>
      <c r="G35" s="42">
        <f>5000/84713*100</f>
        <v>5.9022818221524442</v>
      </c>
      <c r="H35" s="38">
        <f>5397/93706*100</f>
        <v>5.759503126800845</v>
      </c>
      <c r="I35" s="39">
        <f>5500/91924*100</f>
        <v>5.9832035159479569</v>
      </c>
      <c r="J35" s="46">
        <f>12074/92736*100</f>
        <v>13.019755003450657</v>
      </c>
      <c r="K35" s="54"/>
      <c r="L35" s="54"/>
      <c r="P35" s="74"/>
      <c r="Q35" s="74"/>
      <c r="R35" s="57" t="s">
        <v>209</v>
      </c>
    </row>
    <row r="36" spans="2:18">
      <c r="B36" s="20"/>
      <c r="C36" s="21"/>
      <c r="D36" s="21"/>
      <c r="E36" s="22"/>
      <c r="F36" s="22"/>
      <c r="G36" s="22"/>
      <c r="H36" s="21"/>
      <c r="K36"/>
      <c r="M36" s="15"/>
      <c r="P36" s="48"/>
      <c r="Q36" s="48"/>
      <c r="R36" s="57" t="s">
        <v>210</v>
      </c>
    </row>
    <row r="37" spans="2:18">
      <c r="P37" s="75"/>
      <c r="Q37" s="76"/>
      <c r="R37" s="57" t="s">
        <v>211</v>
      </c>
    </row>
    <row r="38" spans="2:18" ht="15" customHeight="1">
      <c r="N38" s="57" t="s">
        <v>213</v>
      </c>
      <c r="R38" s="57" t="s">
        <v>212</v>
      </c>
    </row>
    <row r="39" spans="2:18" ht="105" customHeight="1">
      <c r="B39" s="54"/>
      <c r="C39" s="53" t="s">
        <v>180</v>
      </c>
      <c r="D39" s="53" t="s">
        <v>181</v>
      </c>
      <c r="E39" s="53" t="s">
        <v>33</v>
      </c>
      <c r="F39" s="53" t="s">
        <v>87</v>
      </c>
      <c r="G39" s="53" t="s">
        <v>88</v>
      </c>
      <c r="H39" s="53" t="s">
        <v>89</v>
      </c>
      <c r="I39" s="53" t="s">
        <v>90</v>
      </c>
      <c r="J39" s="53" t="s">
        <v>91</v>
      </c>
      <c r="K39" s="53" t="s">
        <v>92</v>
      </c>
      <c r="L39" s="53" t="s">
        <v>93</v>
      </c>
      <c r="N39" s="57" t="s">
        <v>214</v>
      </c>
    </row>
    <row r="40" spans="2:18" ht="15" customHeight="1">
      <c r="B40" s="55" t="s">
        <v>172</v>
      </c>
      <c r="C40" s="56">
        <v>0.86842105263157898</v>
      </c>
      <c r="D40" s="56">
        <v>0.63157894736842102</v>
      </c>
      <c r="E40" s="56">
        <v>63.157894736842103</v>
      </c>
      <c r="F40" s="56">
        <v>2.6</v>
      </c>
      <c r="G40" s="56">
        <v>4.83</v>
      </c>
      <c r="H40" s="56"/>
      <c r="I40" s="56"/>
      <c r="J40" s="56">
        <v>100</v>
      </c>
      <c r="K40" s="56">
        <v>7.1804378761570291</v>
      </c>
      <c r="L40" s="56">
        <v>10.966486938130735</v>
      </c>
    </row>
    <row r="41" spans="2:18" ht="15" customHeight="1">
      <c r="B41" s="55" t="s">
        <v>174</v>
      </c>
      <c r="C41" s="56">
        <v>1</v>
      </c>
      <c r="D41" s="56">
        <v>1</v>
      </c>
      <c r="E41" s="56">
        <v>60</v>
      </c>
      <c r="F41" s="56">
        <v>2.6</v>
      </c>
      <c r="G41" s="56">
        <v>4.7</v>
      </c>
      <c r="H41" s="56">
        <v>62.857142857142854</v>
      </c>
      <c r="I41" s="56">
        <v>48.571428571428569</v>
      </c>
      <c r="J41" s="56">
        <v>100</v>
      </c>
      <c r="K41" s="56">
        <v>5.8115883070843264</v>
      </c>
      <c r="L41" s="56">
        <v>3.6322426919277042</v>
      </c>
      <c r="N41" s="1" t="s">
        <v>215</v>
      </c>
    </row>
    <row r="42" spans="2:18" ht="15" customHeight="1">
      <c r="B42" s="55" t="s">
        <v>176</v>
      </c>
      <c r="C42" s="56">
        <v>1.0714285714285714</v>
      </c>
      <c r="D42" s="56">
        <v>1.0238095238095237</v>
      </c>
      <c r="E42" s="56">
        <v>64.285714285714292</v>
      </c>
      <c r="F42" s="56">
        <v>2.6</v>
      </c>
      <c r="G42" s="56">
        <v>4.5</v>
      </c>
      <c r="H42" s="56">
        <v>72.222222222222214</v>
      </c>
      <c r="I42" s="56">
        <v>56.25</v>
      </c>
      <c r="J42" s="56">
        <v>100</v>
      </c>
      <c r="K42" s="56">
        <v>7.0827381865829331</v>
      </c>
      <c r="L42" s="56">
        <v>5.9022818221524442</v>
      </c>
    </row>
    <row r="43" spans="2:18" ht="15" customHeight="1">
      <c r="B43" s="55" t="s">
        <v>178</v>
      </c>
      <c r="C43" s="56">
        <v>1.1351351351351351</v>
      </c>
      <c r="D43" s="56">
        <v>0.97297297297297303</v>
      </c>
      <c r="E43" s="56">
        <v>81.081081081081081</v>
      </c>
      <c r="F43" s="56">
        <v>2.8</v>
      </c>
      <c r="G43" s="56">
        <v>4.5</v>
      </c>
      <c r="H43" s="56">
        <v>63.157894736842103</v>
      </c>
      <c r="I43" s="56">
        <v>58.333333333333336</v>
      </c>
      <c r="J43" s="56">
        <v>100</v>
      </c>
      <c r="K43" s="56">
        <v>9.2467690701013883</v>
      </c>
      <c r="L43" s="56">
        <v>5.9832035159479569</v>
      </c>
      <c r="N43" s="1" t="s">
        <v>216</v>
      </c>
    </row>
    <row r="44" spans="2:18" ht="15" customHeight="1">
      <c r="B44" s="55" t="s">
        <v>173</v>
      </c>
      <c r="C44" s="56">
        <v>0.97368421052631582</v>
      </c>
      <c r="D44" s="56">
        <v>1.0789473684210527</v>
      </c>
      <c r="E44" s="56">
        <v>55.26315789473685</v>
      </c>
      <c r="F44" s="56">
        <v>2.7028571428571433</v>
      </c>
      <c r="G44" s="56">
        <v>3.5840000000000005</v>
      </c>
      <c r="H44" s="56"/>
      <c r="I44" s="56"/>
      <c r="J44" s="56">
        <v>100</v>
      </c>
      <c r="K44" s="56">
        <v>7.6967214208510697</v>
      </c>
      <c r="L44" s="56">
        <v>6.6318837485488586</v>
      </c>
    </row>
    <row r="45" spans="2:18">
      <c r="B45" s="55" t="s">
        <v>175</v>
      </c>
      <c r="C45" s="56">
        <v>1.1351351351351351</v>
      </c>
      <c r="D45" s="56">
        <v>1</v>
      </c>
      <c r="E45" s="56">
        <v>67.567567567567565</v>
      </c>
      <c r="F45" s="56">
        <v>2.5166666666666666</v>
      </c>
      <c r="G45" s="56">
        <v>4.2272727272727275</v>
      </c>
      <c r="H45" s="56">
        <v>61.428571428571431</v>
      </c>
      <c r="I45" s="56">
        <v>57.142857142857139</v>
      </c>
      <c r="J45" s="56">
        <v>100</v>
      </c>
      <c r="K45" s="56">
        <v>6.0869323859220605</v>
      </c>
      <c r="L45" s="56">
        <v>5.3486177417564118</v>
      </c>
    </row>
    <row r="46" spans="2:18">
      <c r="B46" s="55" t="s">
        <v>177</v>
      </c>
      <c r="C46" s="56">
        <v>1.3611111111111112</v>
      </c>
      <c r="D46" s="56">
        <v>1.4444444444444444</v>
      </c>
      <c r="E46" s="56">
        <v>80.555555555555557</v>
      </c>
      <c r="F46" s="56">
        <v>2.98</v>
      </c>
      <c r="G46" s="56">
        <v>4.8733333333333331</v>
      </c>
      <c r="H46" s="56">
        <v>55.555555555555557</v>
      </c>
      <c r="I46" s="56">
        <v>56.25</v>
      </c>
      <c r="J46" s="56">
        <v>100</v>
      </c>
      <c r="K46" s="56">
        <v>6.3976693061276766</v>
      </c>
      <c r="L46" s="56">
        <v>5.759503126800845</v>
      </c>
    </row>
    <row r="47" spans="2:18">
      <c r="B47" s="55" t="s">
        <v>179</v>
      </c>
      <c r="C47" s="56">
        <v>1.6285714285714286</v>
      </c>
      <c r="D47" s="56">
        <v>1.9428571428571428</v>
      </c>
      <c r="E47" s="56">
        <v>97.142857142857139</v>
      </c>
      <c r="F47" s="56">
        <v>2.9066666666666667</v>
      </c>
      <c r="G47" s="56">
        <v>4.4666666666666668</v>
      </c>
      <c r="H47" s="56">
        <v>47.368421052631575</v>
      </c>
      <c r="I47" s="56">
        <v>58.333333333333336</v>
      </c>
      <c r="J47" s="56">
        <v>100</v>
      </c>
      <c r="K47" s="56">
        <v>9.0946342305037948</v>
      </c>
      <c r="L47" s="56">
        <v>13.019755003450657</v>
      </c>
    </row>
    <row r="49" spans="2:16">
      <c r="C49" s="509">
        <v>2001</v>
      </c>
      <c r="D49" s="509"/>
      <c r="E49" s="509">
        <v>2002</v>
      </c>
      <c r="F49" s="509"/>
      <c r="G49" s="509">
        <v>2003</v>
      </c>
      <c r="H49" s="509"/>
      <c r="I49" s="509">
        <v>2004</v>
      </c>
      <c r="J49" s="509"/>
      <c r="K49" s="509">
        <v>2005</v>
      </c>
      <c r="L49" s="509"/>
    </row>
    <row r="50" spans="2:16" ht="15.75">
      <c r="B50" s="34"/>
      <c r="C50" s="37" t="s">
        <v>102</v>
      </c>
      <c r="D50" s="37" t="s">
        <v>101</v>
      </c>
      <c r="E50" s="37" t="s">
        <v>102</v>
      </c>
      <c r="F50" s="37" t="s">
        <v>101</v>
      </c>
      <c r="G50" s="37" t="s">
        <v>102</v>
      </c>
      <c r="H50" s="37" t="s">
        <v>101</v>
      </c>
      <c r="I50" s="37" t="s">
        <v>102</v>
      </c>
      <c r="J50" s="37" t="s">
        <v>101</v>
      </c>
      <c r="K50" s="37" t="s">
        <v>102</v>
      </c>
      <c r="L50" s="37" t="s">
        <v>101</v>
      </c>
    </row>
    <row r="51" spans="2:16" ht="30">
      <c r="B51" s="33" t="s">
        <v>180</v>
      </c>
      <c r="C51" s="38">
        <f>33/38</f>
        <v>0.86842105263157898</v>
      </c>
      <c r="D51" s="38">
        <f>37/38</f>
        <v>0.97368421052631582</v>
      </c>
      <c r="E51" s="38">
        <f>40/40</f>
        <v>1</v>
      </c>
      <c r="F51" s="38">
        <f>42/37</f>
        <v>1.1351351351351351</v>
      </c>
      <c r="G51" s="38">
        <f>45/42</f>
        <v>1.0714285714285714</v>
      </c>
      <c r="H51" s="38">
        <f>49/36</f>
        <v>1.3611111111111112</v>
      </c>
      <c r="I51" s="39">
        <f>42/37</f>
        <v>1.1351351351351351</v>
      </c>
      <c r="J51" s="39">
        <f>57/35</f>
        <v>1.6285714285714286</v>
      </c>
      <c r="K51" s="40">
        <f>63/37</f>
        <v>1.7027027027027026</v>
      </c>
      <c r="L51" s="41">
        <f>67/36</f>
        <v>1.8611111111111112</v>
      </c>
    </row>
    <row r="52" spans="2:16" ht="30">
      <c r="B52" s="33" t="s">
        <v>181</v>
      </c>
      <c r="C52" s="38">
        <f>24/38</f>
        <v>0.63157894736842102</v>
      </c>
      <c r="D52" s="38">
        <f>41/38</f>
        <v>1.0789473684210527</v>
      </c>
      <c r="E52" s="38">
        <f>40/40</f>
        <v>1</v>
      </c>
      <c r="F52" s="38">
        <f>37/37</f>
        <v>1</v>
      </c>
      <c r="G52" s="38">
        <f>43/42</f>
        <v>1.0238095238095237</v>
      </c>
      <c r="H52" s="38">
        <f>52/36</f>
        <v>1.4444444444444444</v>
      </c>
      <c r="I52" s="39">
        <f>36/37</f>
        <v>0.97297297297297303</v>
      </c>
      <c r="J52" s="39">
        <f>68/35</f>
        <v>1.9428571428571428</v>
      </c>
      <c r="K52" s="40">
        <f>40/37</f>
        <v>1.0810810810810811</v>
      </c>
      <c r="L52" s="41">
        <f>53/36</f>
        <v>1.4722222222222223</v>
      </c>
    </row>
    <row r="53" spans="2:16">
      <c r="B53" s="33" t="s">
        <v>33</v>
      </c>
      <c r="C53" s="38">
        <f>24/38*100</f>
        <v>63.157894736842103</v>
      </c>
      <c r="D53" s="38">
        <f>21/38*100</f>
        <v>55.26315789473685</v>
      </c>
      <c r="E53" s="42">
        <f>24/40*100</f>
        <v>60</v>
      </c>
      <c r="F53" s="42">
        <f>25/37*100</f>
        <v>67.567567567567565</v>
      </c>
      <c r="G53" s="38">
        <f>27/42*100</f>
        <v>64.285714285714292</v>
      </c>
      <c r="H53" s="38">
        <f>29/36*100</f>
        <v>80.555555555555557</v>
      </c>
      <c r="I53" s="39">
        <f>30/37*100</f>
        <v>81.081081081081081</v>
      </c>
      <c r="J53" s="39">
        <f>34/35*100</f>
        <v>97.142857142857139</v>
      </c>
      <c r="K53" s="40">
        <f>36/37*100</f>
        <v>97.297297297297305</v>
      </c>
      <c r="L53" s="41">
        <f>35/36*100</f>
        <v>97.222222222222214</v>
      </c>
    </row>
    <row r="54" spans="2:16">
      <c r="B54" s="33" t="s">
        <v>87</v>
      </c>
      <c r="C54" s="43">
        <f>31.2/12</f>
        <v>2.6</v>
      </c>
      <c r="D54" s="38">
        <f>18.92/7</f>
        <v>2.7028571428571433</v>
      </c>
      <c r="E54" s="42">
        <f>33.8/13</f>
        <v>2.5999999999999996</v>
      </c>
      <c r="F54" s="42">
        <f>30.2/12</f>
        <v>2.5166666666666666</v>
      </c>
      <c r="G54" s="38">
        <f>44.2/17</f>
        <v>2.6</v>
      </c>
      <c r="H54" s="38">
        <f>44.7/15</f>
        <v>2.98</v>
      </c>
      <c r="I54" s="39">
        <f>42/15</f>
        <v>2.8</v>
      </c>
      <c r="J54" s="39">
        <f>43.6/15</f>
        <v>2.9066666666666667</v>
      </c>
      <c r="K54" s="40">
        <f>52.6/18</f>
        <v>2.9222222222222225</v>
      </c>
      <c r="L54" s="40">
        <f>85.8/28</f>
        <v>3.0642857142857141</v>
      </c>
    </row>
    <row r="55" spans="2:16">
      <c r="B55" s="33" t="s">
        <v>88</v>
      </c>
      <c r="C55" s="38">
        <f>19.32/4</f>
        <v>4.83</v>
      </c>
      <c r="D55" s="38">
        <f>17.92/5</f>
        <v>3.5840000000000005</v>
      </c>
      <c r="E55" s="42">
        <f>37.6/8</f>
        <v>4.7</v>
      </c>
      <c r="F55" s="42">
        <f>46.5/11</f>
        <v>4.2272727272727275</v>
      </c>
      <c r="G55" s="38">
        <f>85.5/19</f>
        <v>4.5</v>
      </c>
      <c r="H55" s="42">
        <f>73.1/15</f>
        <v>4.8733333333333331</v>
      </c>
      <c r="I55" s="39">
        <f>40.5/9</f>
        <v>4.5</v>
      </c>
      <c r="J55" s="39">
        <f>53.6/12</f>
        <v>4.4666666666666668</v>
      </c>
      <c r="K55" s="40">
        <f>67.2/15</f>
        <v>4.4800000000000004</v>
      </c>
      <c r="L55" s="40">
        <f>55.7/13</f>
        <v>4.2846153846153845</v>
      </c>
    </row>
    <row r="56" spans="2:16">
      <c r="B56" s="33" t="s">
        <v>89</v>
      </c>
      <c r="C56" s="42"/>
      <c r="D56" s="42"/>
      <c r="E56" s="42">
        <f>44/70*100</f>
        <v>62.857142857142854</v>
      </c>
      <c r="F56" s="42">
        <f>43/70*100</f>
        <v>61.428571428571431</v>
      </c>
      <c r="G56" s="38">
        <f>13/18*100</f>
        <v>72.222222222222214</v>
      </c>
      <c r="H56" s="38">
        <f>10/18*100</f>
        <v>55.555555555555557</v>
      </c>
      <c r="I56" s="39">
        <f>12/19*100</f>
        <v>63.157894736842103</v>
      </c>
      <c r="J56" s="39">
        <f>9/19*100</f>
        <v>47.368421052631575</v>
      </c>
      <c r="K56" s="40">
        <f>18/23*100</f>
        <v>78.260869565217391</v>
      </c>
      <c r="L56" s="44">
        <f>15/23*100</f>
        <v>65.217391304347828</v>
      </c>
    </row>
    <row r="57" spans="2:16">
      <c r="B57" s="33" t="s">
        <v>90</v>
      </c>
      <c r="C57" s="42"/>
      <c r="D57" s="42"/>
      <c r="E57" s="42">
        <f>17/35*100</f>
        <v>48.571428571428569</v>
      </c>
      <c r="F57" s="42">
        <f>20/35*100</f>
        <v>57.142857142857139</v>
      </c>
      <c r="G57" s="38">
        <f>9/16*100</f>
        <v>56.25</v>
      </c>
      <c r="H57" s="42">
        <f>9/16*100</f>
        <v>56.25</v>
      </c>
      <c r="I57" s="39">
        <f>7/12*100</f>
        <v>58.333333333333336</v>
      </c>
      <c r="J57" s="39">
        <f>7/12*100</f>
        <v>58.333333333333336</v>
      </c>
      <c r="K57" s="40">
        <f>16/21*100</f>
        <v>76.19047619047619</v>
      </c>
      <c r="L57" s="45">
        <f>14/21*100</f>
        <v>66.666666666666657</v>
      </c>
    </row>
    <row r="58" spans="2:16">
      <c r="B58" s="33" t="s">
        <v>91</v>
      </c>
      <c r="C58" s="42">
        <f t="shared" ref="C58:H58" si="1">4/4*100</f>
        <v>100</v>
      </c>
      <c r="D58" s="42">
        <f t="shared" si="1"/>
        <v>100</v>
      </c>
      <c r="E58" s="42">
        <f t="shared" si="1"/>
        <v>100</v>
      </c>
      <c r="F58" s="42">
        <f t="shared" si="1"/>
        <v>100</v>
      </c>
      <c r="G58" s="42">
        <f t="shared" si="1"/>
        <v>100</v>
      </c>
      <c r="H58" s="42">
        <f t="shared" si="1"/>
        <v>100</v>
      </c>
      <c r="I58" s="39">
        <f>4/4*100</f>
        <v>100</v>
      </c>
      <c r="J58" s="39">
        <f>4/4*100</f>
        <v>100</v>
      </c>
      <c r="K58" s="40">
        <f>4/4*100</f>
        <v>100</v>
      </c>
      <c r="L58" s="41">
        <f>4/4*100</f>
        <v>100</v>
      </c>
    </row>
    <row r="59" spans="2:16">
      <c r="B59" s="33" t="s">
        <v>92</v>
      </c>
      <c r="C59" s="38">
        <f>5500/76597*100</f>
        <v>7.1804378761570291</v>
      </c>
      <c r="D59" s="38">
        <f>5768/74941*100</f>
        <v>7.6967214208510697</v>
      </c>
      <c r="E59" s="42">
        <f>4000/68828*100</f>
        <v>5.8115883070843264</v>
      </c>
      <c r="F59" s="42">
        <f>4386/72056*100</f>
        <v>6.0869323859220605</v>
      </c>
      <c r="G59" s="38">
        <f>6000/84713*100</f>
        <v>7.0827381865829331</v>
      </c>
      <c r="H59" s="38">
        <f>5995/93706*100</f>
        <v>6.3976693061276766</v>
      </c>
      <c r="I59" s="39">
        <f>8500/91924*100</f>
        <v>9.2467690701013883</v>
      </c>
      <c r="J59" s="39">
        <f>8434/92736*100</f>
        <v>9.0946342305037948</v>
      </c>
      <c r="K59" s="40">
        <f>11600/94454*100</f>
        <v>12.281110381773139</v>
      </c>
      <c r="L59" s="45">
        <f>12443/88311*100</f>
        <v>14.089977466000839</v>
      </c>
    </row>
    <row r="60" spans="2:16" ht="30">
      <c r="B60" s="33" t="s">
        <v>200</v>
      </c>
      <c r="C60" s="38"/>
      <c r="D60" s="38"/>
      <c r="E60" s="42"/>
      <c r="F60" s="42"/>
      <c r="G60" s="38"/>
      <c r="H60" s="38"/>
      <c r="I60" s="39"/>
      <c r="J60" s="39"/>
      <c r="K60" s="40">
        <f>35/37*100</f>
        <v>94.594594594594597</v>
      </c>
      <c r="L60" s="45">
        <f>35/36*100</f>
        <v>97.222222222222214</v>
      </c>
    </row>
    <row r="61" spans="2:16">
      <c r="B61" s="33" t="s">
        <v>93</v>
      </c>
      <c r="C61" s="38">
        <f>8400/76597*100</f>
        <v>10.966486938130735</v>
      </c>
      <c r="D61" s="38">
        <f>4970/74941*100</f>
        <v>6.6318837485488586</v>
      </c>
      <c r="E61" s="42">
        <f>2500/68828*100</f>
        <v>3.6322426919277042</v>
      </c>
      <c r="F61" s="42">
        <f>3854/72056*100</f>
        <v>5.3486177417564118</v>
      </c>
      <c r="G61" s="42">
        <f>5000/84713*100</f>
        <v>5.9022818221524442</v>
      </c>
      <c r="H61" s="38">
        <f>5397/93706*100</f>
        <v>5.759503126800845</v>
      </c>
      <c r="I61" s="39">
        <f>5500/91924*100</f>
        <v>5.9832035159479569</v>
      </c>
      <c r="J61" s="46">
        <f>12074/92736*100</f>
        <v>13.019755003450657</v>
      </c>
      <c r="K61" s="34"/>
      <c r="L61" s="34"/>
    </row>
    <row r="64" spans="2:16" ht="31.5">
      <c r="B64" s="86"/>
      <c r="C64" s="94" t="s">
        <v>172</v>
      </c>
      <c r="D64" s="94" t="s">
        <v>173</v>
      </c>
      <c r="E64" s="94" t="s">
        <v>174</v>
      </c>
      <c r="F64" s="94" t="s">
        <v>175</v>
      </c>
      <c r="G64" s="94" t="s">
        <v>176</v>
      </c>
      <c r="H64" s="94" t="s">
        <v>177</v>
      </c>
      <c r="I64" s="94" t="s">
        <v>178</v>
      </c>
      <c r="J64" s="94" t="s">
        <v>179</v>
      </c>
      <c r="K64" s="94" t="s">
        <v>201</v>
      </c>
      <c r="L64" s="94" t="s">
        <v>202</v>
      </c>
      <c r="M64" s="94" t="s">
        <v>221</v>
      </c>
      <c r="N64" s="94" t="s">
        <v>222</v>
      </c>
      <c r="O64" s="94" t="s">
        <v>357</v>
      </c>
      <c r="P64" s="94" t="s">
        <v>358</v>
      </c>
    </row>
    <row r="65" spans="2:20" ht="30">
      <c r="B65" s="79" t="s">
        <v>205</v>
      </c>
      <c r="C65" s="81">
        <f>33/38</f>
        <v>0.86842105263157898</v>
      </c>
      <c r="D65" s="81">
        <f>37/38</f>
        <v>0.97368421052631582</v>
      </c>
      <c r="E65" s="81">
        <f>40/40</f>
        <v>1</v>
      </c>
      <c r="F65" s="81">
        <f>42/37</f>
        <v>1.1351351351351351</v>
      </c>
      <c r="G65" s="81">
        <f>45/42</f>
        <v>1.0714285714285714</v>
      </c>
      <c r="H65" s="81">
        <f>49/36</f>
        <v>1.3611111111111112</v>
      </c>
      <c r="I65" s="82">
        <f>42/37</f>
        <v>1.1351351351351351</v>
      </c>
      <c r="J65" s="82">
        <f>57/35</f>
        <v>1.6285714285714286</v>
      </c>
      <c r="K65" s="83">
        <f>63/37</f>
        <v>1.7027027027027026</v>
      </c>
      <c r="L65" s="93">
        <f>67/36</f>
        <v>1.8611111111111112</v>
      </c>
      <c r="M65" s="84">
        <f>80/42</f>
        <v>1.9047619047619047</v>
      </c>
      <c r="N65" s="84">
        <f>66/35</f>
        <v>1.8857142857142857</v>
      </c>
      <c r="O65" s="84">
        <v>2.1</v>
      </c>
      <c r="P65" s="84">
        <v>2.1</v>
      </c>
    </row>
    <row r="66" spans="2:20" ht="30">
      <c r="B66" s="79" t="s">
        <v>181</v>
      </c>
      <c r="C66" s="81">
        <f>24/38</f>
        <v>0.63157894736842102</v>
      </c>
      <c r="D66" s="81">
        <f>41/38</f>
        <v>1.0789473684210527</v>
      </c>
      <c r="E66" s="81">
        <f>40/40</f>
        <v>1</v>
      </c>
      <c r="F66" s="81">
        <f>37/37</f>
        <v>1</v>
      </c>
      <c r="G66" s="81">
        <f>43/42</f>
        <v>1.0238095238095237</v>
      </c>
      <c r="H66" s="81">
        <f>52/36</f>
        <v>1.4444444444444444</v>
      </c>
      <c r="I66" s="82">
        <f>36/37</f>
        <v>0.97297297297297303</v>
      </c>
      <c r="J66" s="82">
        <f>68/35</f>
        <v>1.9428571428571428</v>
      </c>
      <c r="K66" s="83">
        <f>40/37</f>
        <v>1.0810810810810811</v>
      </c>
      <c r="L66" s="93">
        <f>53/36</f>
        <v>1.4722222222222223</v>
      </c>
      <c r="M66" s="84">
        <f>45/42</f>
        <v>1.0714285714285714</v>
      </c>
      <c r="N66" s="84">
        <f>67/35</f>
        <v>1.9142857142857144</v>
      </c>
      <c r="O66" s="84">
        <v>1.1000000000000001</v>
      </c>
      <c r="P66" s="84">
        <v>1.2</v>
      </c>
    </row>
    <row r="69" spans="2:20" s="197" customFormat="1" ht="15.75">
      <c r="B69" s="195"/>
      <c r="C69" s="196" t="s">
        <v>44</v>
      </c>
      <c r="D69" s="196" t="s">
        <v>55</v>
      </c>
      <c r="E69" s="196" t="s">
        <v>70</v>
      </c>
      <c r="F69" s="196" t="s">
        <v>72</v>
      </c>
      <c r="G69" s="196" t="s">
        <v>82</v>
      </c>
      <c r="H69" s="196">
        <v>2006</v>
      </c>
      <c r="I69" s="196" t="s">
        <v>346</v>
      </c>
      <c r="M69" s="198"/>
      <c r="N69" s="198"/>
      <c r="O69" s="198"/>
      <c r="P69" s="198"/>
      <c r="Q69" s="198"/>
      <c r="R69" s="198"/>
      <c r="S69" s="198"/>
      <c r="T69" s="198"/>
    </row>
    <row r="70" spans="2:20" ht="30">
      <c r="B70" s="79" t="s">
        <v>206</v>
      </c>
      <c r="C70" s="81">
        <v>0.86842105263157898</v>
      </c>
      <c r="D70" s="81">
        <v>1</v>
      </c>
      <c r="E70" s="81">
        <v>1.0714285714285714</v>
      </c>
      <c r="F70" s="81">
        <v>1.1351351351351351</v>
      </c>
      <c r="G70" s="83">
        <f>63/37</f>
        <v>1.7027027027027026</v>
      </c>
      <c r="H70" s="84">
        <f>80/42</f>
        <v>1.9047619047619047</v>
      </c>
      <c r="I70" s="78">
        <v>2.1</v>
      </c>
      <c r="J70"/>
      <c r="K70"/>
      <c r="L70"/>
      <c r="Q70" s="15"/>
      <c r="R70" s="15"/>
      <c r="S70" s="15"/>
      <c r="T70" s="15"/>
    </row>
    <row r="71" spans="2:20" ht="30">
      <c r="B71" s="79" t="s">
        <v>207</v>
      </c>
      <c r="C71" s="81">
        <v>0.97368421052631582</v>
      </c>
      <c r="D71" s="81">
        <v>1.1351351351351351</v>
      </c>
      <c r="E71" s="81">
        <v>1.3611111111111112</v>
      </c>
      <c r="F71" s="81">
        <v>1.6285714285714286</v>
      </c>
      <c r="G71" s="93">
        <f>67/36</f>
        <v>1.8611111111111112</v>
      </c>
      <c r="H71" s="84">
        <f>71/35</f>
        <v>2.0285714285714285</v>
      </c>
      <c r="I71" s="78">
        <v>2.1</v>
      </c>
      <c r="J71"/>
      <c r="K71"/>
      <c r="L71"/>
      <c r="Q71" s="15"/>
      <c r="R71" s="15"/>
      <c r="S71" s="15"/>
      <c r="T71" s="15"/>
    </row>
    <row r="72" spans="2:20" ht="30">
      <c r="B72" s="79" t="s">
        <v>182</v>
      </c>
      <c r="C72" s="81">
        <v>0.63157894736842102</v>
      </c>
      <c r="D72" s="81">
        <v>1</v>
      </c>
      <c r="E72" s="81">
        <v>1.0238095238095237</v>
      </c>
      <c r="F72" s="81">
        <v>0.97297297297297303</v>
      </c>
      <c r="G72" s="83">
        <f>40/37</f>
        <v>1.0810810810810811</v>
      </c>
      <c r="H72" s="84">
        <f>45/42</f>
        <v>1.0714285714285714</v>
      </c>
      <c r="I72" s="78">
        <v>1.1000000000000001</v>
      </c>
      <c r="J72"/>
      <c r="K72"/>
      <c r="L72"/>
      <c r="Q72" s="15"/>
      <c r="R72" s="15"/>
      <c r="S72" s="15"/>
      <c r="T72" s="15"/>
    </row>
    <row r="73" spans="2:20" ht="30">
      <c r="B73" s="79" t="s">
        <v>183</v>
      </c>
      <c r="C73" s="81">
        <v>1.0789473684210527</v>
      </c>
      <c r="D73" s="81">
        <v>1</v>
      </c>
      <c r="E73" s="81">
        <v>1.4444444444444444</v>
      </c>
      <c r="F73" s="81">
        <v>1.9428571428571428</v>
      </c>
      <c r="G73" s="93">
        <f>59/36</f>
        <v>1.6388888888888888</v>
      </c>
      <c r="H73" s="84">
        <f>87/35</f>
        <v>2.4857142857142858</v>
      </c>
      <c r="I73" s="201">
        <v>4</v>
      </c>
      <c r="J73"/>
      <c r="K73"/>
      <c r="L73"/>
      <c r="Q73" s="15"/>
      <c r="R73" s="15"/>
      <c r="S73" s="15"/>
      <c r="T73" s="15"/>
    </row>
    <row r="74" spans="2:20">
      <c r="I74"/>
      <c r="J74"/>
      <c r="K74"/>
      <c r="L74"/>
      <c r="Q74" s="15"/>
      <c r="R74" s="15"/>
      <c r="S74" s="15"/>
      <c r="T74" s="15"/>
    </row>
    <row r="75" spans="2:20">
      <c r="D75" s="27"/>
      <c r="F75" s="27"/>
      <c r="I75"/>
      <c r="J75"/>
      <c r="K75"/>
      <c r="L75"/>
      <c r="Q75" s="15"/>
      <c r="R75" s="15"/>
      <c r="S75" s="15"/>
      <c r="T75" s="15"/>
    </row>
    <row r="76" spans="2:20" s="197" customFormat="1" ht="15.75">
      <c r="B76" s="195"/>
      <c r="C76" s="195">
        <v>2001</v>
      </c>
      <c r="D76" s="195">
        <v>2002</v>
      </c>
      <c r="E76" s="195">
        <v>2003</v>
      </c>
      <c r="F76" s="195">
        <v>2004</v>
      </c>
      <c r="G76" s="195">
        <v>2005</v>
      </c>
      <c r="H76" s="195">
        <v>2006</v>
      </c>
      <c r="I76" s="195">
        <v>2007</v>
      </c>
      <c r="J76" s="198"/>
      <c r="K76" s="198"/>
      <c r="L76" s="198"/>
      <c r="M76" s="198"/>
      <c r="N76" s="198"/>
      <c r="O76" s="198"/>
      <c r="P76" s="198"/>
    </row>
    <row r="77" spans="2:20">
      <c r="B77" s="79" t="s">
        <v>184</v>
      </c>
      <c r="C77" s="81">
        <v>63.157894736842103</v>
      </c>
      <c r="D77" s="80">
        <v>60</v>
      </c>
      <c r="E77" s="81">
        <v>64.285714285714292</v>
      </c>
      <c r="F77" s="82">
        <v>81.081081081081081</v>
      </c>
      <c r="G77" s="83">
        <f>36/37*100</f>
        <v>97.297297297297305</v>
      </c>
      <c r="H77" s="84">
        <f>37/42*100</f>
        <v>88.095238095238088</v>
      </c>
      <c r="I77" s="78">
        <v>85.7</v>
      </c>
      <c r="J77"/>
      <c r="K77"/>
      <c r="L77"/>
      <c r="Q77" s="15"/>
      <c r="R77" s="15"/>
      <c r="S77" s="15"/>
      <c r="T77" s="15"/>
    </row>
    <row r="78" spans="2:20">
      <c r="B78" s="79" t="s">
        <v>185</v>
      </c>
      <c r="C78" s="81">
        <v>55.26315789473685</v>
      </c>
      <c r="D78" s="80">
        <v>67.567567567567565</v>
      </c>
      <c r="E78" s="81">
        <v>80.555555555555557</v>
      </c>
      <c r="F78" s="82">
        <v>97.142857142857139</v>
      </c>
      <c r="G78" s="93">
        <f>36/36*100</f>
        <v>100</v>
      </c>
      <c r="H78" s="84">
        <f>35/35*100</f>
        <v>100</v>
      </c>
      <c r="I78" s="78">
        <v>97.1</v>
      </c>
      <c r="J78"/>
      <c r="K78"/>
      <c r="L78"/>
      <c r="Q78" s="15"/>
      <c r="R78" s="15"/>
      <c r="S78" s="15"/>
      <c r="T78" s="15"/>
    </row>
    <row r="79" spans="2:20">
      <c r="I79"/>
      <c r="J79"/>
      <c r="K79"/>
      <c r="L79"/>
      <c r="Q79" s="15"/>
      <c r="R79" s="15"/>
      <c r="S79" s="15"/>
      <c r="T79" s="15"/>
    </row>
    <row r="80" spans="2:20">
      <c r="I80"/>
      <c r="J80"/>
      <c r="K80"/>
      <c r="L80"/>
      <c r="Q80" s="15"/>
      <c r="R80" s="15"/>
      <c r="S80" s="15"/>
      <c r="T80" s="15"/>
    </row>
    <row r="81" spans="2:20">
      <c r="D81" s="15"/>
      <c r="I81"/>
      <c r="J81"/>
      <c r="K81"/>
      <c r="L81"/>
      <c r="Q81" s="15"/>
      <c r="R81" s="15"/>
      <c r="S81" s="15"/>
      <c r="T81" s="15"/>
    </row>
    <row r="82" spans="2:20">
      <c r="C82" s="26">
        <v>2001</v>
      </c>
      <c r="D82" s="26">
        <v>2002</v>
      </c>
      <c r="E82" s="26">
        <v>2003</v>
      </c>
      <c r="F82" s="26">
        <v>2004</v>
      </c>
      <c r="G82" s="26">
        <v>2005</v>
      </c>
      <c r="H82" s="26"/>
      <c r="I82"/>
      <c r="J82"/>
      <c r="K82"/>
      <c r="L82"/>
      <c r="Q82" s="15"/>
      <c r="R82" s="15"/>
      <c r="S82" s="15"/>
      <c r="T82" s="15"/>
    </row>
    <row r="83" spans="2:20">
      <c r="B83" s="33" t="s">
        <v>186</v>
      </c>
      <c r="C83" s="43">
        <v>2.6</v>
      </c>
      <c r="D83" s="42">
        <v>2.6</v>
      </c>
      <c r="E83" s="38">
        <v>2.6</v>
      </c>
      <c r="F83" s="39">
        <v>2.8</v>
      </c>
      <c r="G83" s="40">
        <f>52.6/18</f>
        <v>2.9222222222222225</v>
      </c>
      <c r="H83" s="47"/>
      <c r="I83"/>
      <c r="J83"/>
      <c r="K83"/>
      <c r="L83"/>
      <c r="Q83" s="15"/>
      <c r="R83" s="15"/>
      <c r="S83" s="15"/>
      <c r="T83" s="15"/>
    </row>
    <row r="84" spans="2:20">
      <c r="B84" s="33" t="s">
        <v>187</v>
      </c>
      <c r="C84" s="38">
        <v>2.7028571428571433</v>
      </c>
      <c r="D84" s="42">
        <v>2.5166666666666666</v>
      </c>
      <c r="E84" s="38">
        <v>2.98</v>
      </c>
      <c r="F84" s="39">
        <v>2.9066666666666667</v>
      </c>
      <c r="G84" s="40">
        <f>85.8/28</f>
        <v>3.0642857142857141</v>
      </c>
      <c r="H84" s="47"/>
      <c r="I84"/>
      <c r="J84"/>
      <c r="K84"/>
      <c r="L84"/>
      <c r="Q84" s="15"/>
      <c r="R84" s="15"/>
      <c r="S84" s="15"/>
      <c r="T84" s="15"/>
    </row>
    <row r="85" spans="2:20">
      <c r="B85" s="33" t="s">
        <v>188</v>
      </c>
      <c r="C85" s="38">
        <v>4.83</v>
      </c>
      <c r="D85" s="42">
        <v>4.7</v>
      </c>
      <c r="E85" s="38">
        <v>4.5</v>
      </c>
      <c r="F85" s="39">
        <v>4.5</v>
      </c>
      <c r="G85" s="40">
        <f>67.2/15</f>
        <v>4.4800000000000004</v>
      </c>
      <c r="H85" s="48"/>
      <c r="I85"/>
      <c r="J85"/>
      <c r="K85"/>
      <c r="L85"/>
      <c r="Q85" s="15"/>
      <c r="R85" s="15"/>
      <c r="S85" s="15"/>
      <c r="T85" s="15"/>
    </row>
    <row r="86" spans="2:20">
      <c r="B86" s="33" t="s">
        <v>189</v>
      </c>
      <c r="C86" s="38">
        <v>3.5840000000000005</v>
      </c>
      <c r="D86" s="42">
        <v>4.2272727272727275</v>
      </c>
      <c r="E86" s="42">
        <v>4.8733333333333331</v>
      </c>
      <c r="F86" s="39">
        <v>4.4666666666666668</v>
      </c>
      <c r="G86" s="40">
        <f>55.7/13</f>
        <v>4.2846153846153845</v>
      </c>
      <c r="H86" s="32"/>
      <c r="I86"/>
      <c r="J86"/>
      <c r="K86"/>
      <c r="L86"/>
      <c r="Q86" s="15"/>
      <c r="R86" s="15"/>
      <c r="S86" s="15"/>
      <c r="T86" s="15"/>
    </row>
    <row r="87" spans="2:20">
      <c r="B87"/>
      <c r="C87"/>
      <c r="D87"/>
      <c r="E87"/>
      <c r="F87"/>
      <c r="G87"/>
      <c r="H87"/>
      <c r="I87"/>
      <c r="J87"/>
      <c r="K87"/>
      <c r="L87"/>
      <c r="Q87" s="15"/>
      <c r="R87" s="15"/>
      <c r="S87" s="15"/>
      <c r="T87" s="15"/>
    </row>
    <row r="88" spans="2:20" s="16" customFormat="1">
      <c r="B88" s="194"/>
      <c r="C88" s="193">
        <v>2002</v>
      </c>
      <c r="D88" s="193">
        <v>2003</v>
      </c>
      <c r="E88" s="193">
        <v>2004</v>
      </c>
      <c r="F88" s="193">
        <v>2005</v>
      </c>
      <c r="G88" s="193">
        <v>2006</v>
      </c>
      <c r="H88" s="193">
        <v>2007</v>
      </c>
      <c r="I88" s="158"/>
      <c r="J88" s="158"/>
      <c r="K88" s="158"/>
      <c r="L88" s="158"/>
      <c r="M88" s="158"/>
      <c r="N88" s="158"/>
      <c r="O88" s="158"/>
      <c r="P88" s="158"/>
    </row>
    <row r="89" spans="2:20">
      <c r="B89" s="79" t="s">
        <v>190</v>
      </c>
      <c r="C89" s="80">
        <v>62.857142857142854</v>
      </c>
      <c r="D89" s="81">
        <v>72.222222222222214</v>
      </c>
      <c r="E89" s="82">
        <v>63.157894736842103</v>
      </c>
      <c r="F89" s="83">
        <f>18/23*100</f>
        <v>78.260869565217391</v>
      </c>
      <c r="G89" s="84">
        <f>13/18*100</f>
        <v>72.222222222222214</v>
      </c>
      <c r="H89" s="78">
        <v>69.7</v>
      </c>
      <c r="I89"/>
      <c r="J89"/>
      <c r="K89"/>
      <c r="L89"/>
      <c r="P89" s="15"/>
      <c r="Q89" s="15"/>
      <c r="R89" s="15"/>
      <c r="S89" s="15"/>
      <c r="T89" s="15"/>
    </row>
    <row r="90" spans="2:20">
      <c r="B90" s="79" t="s">
        <v>191</v>
      </c>
      <c r="C90" s="80">
        <v>61.428571428571431</v>
      </c>
      <c r="D90" s="81">
        <v>55.555555555555557</v>
      </c>
      <c r="E90" s="82">
        <v>47.368421052631575</v>
      </c>
      <c r="F90" s="84">
        <f>15/23*100</f>
        <v>65.217391304347828</v>
      </c>
      <c r="G90" s="84">
        <f>16/18*100</f>
        <v>88.888888888888886</v>
      </c>
      <c r="H90" s="78">
        <v>69.7</v>
      </c>
      <c r="I90"/>
      <c r="J90"/>
      <c r="K90"/>
      <c r="L90"/>
      <c r="P90" s="15"/>
      <c r="Q90" s="15"/>
      <c r="R90" s="15"/>
      <c r="S90" s="15"/>
      <c r="T90" s="15"/>
    </row>
    <row r="91" spans="2:20">
      <c r="B91" s="79" t="s">
        <v>192</v>
      </c>
      <c r="C91" s="80">
        <v>48.571428571428569</v>
      </c>
      <c r="D91" s="81">
        <v>56.25</v>
      </c>
      <c r="E91" s="82">
        <v>58.333333333333336</v>
      </c>
      <c r="F91" s="83">
        <f>16/21*100</f>
        <v>76.19047619047619</v>
      </c>
      <c r="G91" s="84">
        <f>9/13*100</f>
        <v>69.230769230769226</v>
      </c>
      <c r="H91" s="78">
        <v>73.3</v>
      </c>
      <c r="I91"/>
      <c r="J91"/>
      <c r="K91"/>
      <c r="L91"/>
      <c r="P91" s="15"/>
      <c r="Q91" s="15"/>
      <c r="R91" s="15"/>
      <c r="S91" s="15"/>
      <c r="T91" s="15"/>
    </row>
    <row r="92" spans="2:20">
      <c r="B92" s="79" t="s">
        <v>193</v>
      </c>
      <c r="C92" s="80">
        <v>57.142857142857139</v>
      </c>
      <c r="D92" s="80">
        <v>56.25</v>
      </c>
      <c r="E92" s="82">
        <v>58.333333333333336</v>
      </c>
      <c r="F92" s="85">
        <f>14/21*100</f>
        <v>66.666666666666657</v>
      </c>
      <c r="G92" s="84">
        <f>9/13*100</f>
        <v>69.230769230769226</v>
      </c>
      <c r="H92" s="78">
        <v>53.3</v>
      </c>
      <c r="I92"/>
      <c r="J92"/>
      <c r="K92"/>
      <c r="L92"/>
      <c r="P92" s="15"/>
      <c r="Q92" s="15"/>
      <c r="R92" s="15"/>
      <c r="S92" s="15"/>
      <c r="T92" s="15"/>
    </row>
    <row r="93" spans="2:20">
      <c r="I93"/>
      <c r="J93"/>
      <c r="K93"/>
      <c r="L93"/>
      <c r="Q93" s="15"/>
      <c r="R93" s="15"/>
      <c r="S93" s="15"/>
      <c r="T93" s="15"/>
    </row>
    <row r="94" spans="2:20">
      <c r="D94" s="27"/>
      <c r="F94" s="27"/>
      <c r="I94"/>
      <c r="J94"/>
      <c r="K94"/>
      <c r="L94"/>
      <c r="Q94" s="15"/>
      <c r="R94" s="15"/>
      <c r="S94" s="15"/>
      <c r="T94" s="15"/>
    </row>
    <row r="95" spans="2:20" s="16" customFormat="1">
      <c r="B95" s="193"/>
      <c r="C95" s="193">
        <v>2001</v>
      </c>
      <c r="D95" s="193">
        <v>2002</v>
      </c>
      <c r="E95" s="193">
        <v>2003</v>
      </c>
      <c r="F95" s="193">
        <v>2004</v>
      </c>
      <c r="G95" s="193">
        <v>2005</v>
      </c>
      <c r="H95" s="193">
        <v>2006</v>
      </c>
      <c r="I95" s="193">
        <v>2007</v>
      </c>
      <c r="J95" s="158"/>
      <c r="K95" s="158"/>
      <c r="L95" s="158"/>
      <c r="M95" s="158"/>
      <c r="N95" s="158"/>
      <c r="O95" s="158"/>
      <c r="P95" s="158"/>
    </row>
    <row r="96" spans="2:20" ht="45">
      <c r="B96" s="79" t="s">
        <v>359</v>
      </c>
      <c r="C96" s="81">
        <f>5500/76597*100</f>
        <v>7.1804378761570291</v>
      </c>
      <c r="D96" s="80">
        <f>4000/68828*100</f>
        <v>5.8115883070843264</v>
      </c>
      <c r="E96" s="81">
        <f>6000/84713*100</f>
        <v>7.0827381865829331</v>
      </c>
      <c r="F96" s="82">
        <f>8500/91924*100</f>
        <v>9.2467690701013883</v>
      </c>
      <c r="G96" s="83">
        <f>11600/94454*100</f>
        <v>12.281110381773139</v>
      </c>
      <c r="H96" s="84">
        <f>13400/100737*100</f>
        <v>13.301964521476716</v>
      </c>
      <c r="I96" s="78">
        <v>16.100000000000001</v>
      </c>
      <c r="J96"/>
      <c r="K96"/>
      <c r="L96"/>
      <c r="Q96" s="15"/>
      <c r="R96" s="15"/>
      <c r="S96" s="15"/>
      <c r="T96" s="15"/>
    </row>
    <row r="97" spans="2:20" ht="45">
      <c r="B97" s="79" t="s">
        <v>360</v>
      </c>
      <c r="C97" s="81">
        <f>5768/74941*100</f>
        <v>7.6967214208510697</v>
      </c>
      <c r="D97" s="80">
        <f>4386/72056*100</f>
        <v>6.0869323859220605</v>
      </c>
      <c r="E97" s="81">
        <f>5995/93706*100</f>
        <v>6.3976693061276766</v>
      </c>
      <c r="F97" s="82">
        <f>8535/92836*100</f>
        <v>9.1936317807746999</v>
      </c>
      <c r="G97" s="85">
        <f>12444/100755*100</f>
        <v>12.350751823730832</v>
      </c>
      <c r="H97" s="84">
        <f>14258.8/109812.4*100</f>
        <v>12.984690253559709</v>
      </c>
      <c r="I97" s="78">
        <v>13.3</v>
      </c>
      <c r="J97"/>
      <c r="K97"/>
      <c r="L97"/>
      <c r="Q97" s="15"/>
      <c r="R97" s="15"/>
      <c r="S97" s="15"/>
      <c r="T97" s="15"/>
    </row>
    <row r="98" spans="2:20">
      <c r="B98" s="18" t="s">
        <v>194</v>
      </c>
      <c r="C98" s="50">
        <f>8400/76597*100</f>
        <v>10.966486938130735</v>
      </c>
      <c r="D98" s="51">
        <f>2500/68828*100</f>
        <v>3.6322426919277042</v>
      </c>
      <c r="E98" s="52">
        <f>5000/84713*100</f>
        <v>5.9022818221524442</v>
      </c>
      <c r="F98" s="28">
        <f>5500/91924*100</f>
        <v>5.9832035159479569</v>
      </c>
      <c r="I98"/>
      <c r="J98"/>
      <c r="K98"/>
      <c r="L98"/>
      <c r="Q98" s="15"/>
      <c r="R98" s="15"/>
      <c r="S98" s="15"/>
      <c r="T98" s="15"/>
    </row>
    <row r="99" spans="2:20">
      <c r="B99" s="18" t="s">
        <v>195</v>
      </c>
      <c r="C99" s="29">
        <f>4970/74941*100</f>
        <v>6.6318837485488586</v>
      </c>
      <c r="D99" s="30">
        <f>3854/72056*100</f>
        <v>5.3486177417564118</v>
      </c>
      <c r="E99" s="29">
        <f>5397/93706*100</f>
        <v>5.759503126800845</v>
      </c>
      <c r="F99" s="31">
        <f>12626/92836*100</f>
        <v>13.600327459175322</v>
      </c>
      <c r="I99"/>
      <c r="J99"/>
      <c r="K99"/>
      <c r="L99"/>
      <c r="Q99" s="15"/>
      <c r="R99" s="15"/>
      <c r="S99" s="15"/>
      <c r="T99" s="15"/>
    </row>
    <row r="102" spans="2:20">
      <c r="B102" s="34"/>
      <c r="C102" s="49">
        <v>2005</v>
      </c>
      <c r="D102" s="92"/>
    </row>
    <row r="103" spans="2:20" ht="49.5" customHeight="1">
      <c r="B103" s="33" t="s">
        <v>217</v>
      </c>
      <c r="C103" s="58">
        <f>35/36</f>
        <v>0.97222222222222221</v>
      </c>
      <c r="D103" s="89"/>
    </row>
    <row r="104" spans="2:20" s="90" customFormat="1" ht="49.5" customHeight="1">
      <c r="B104" s="87"/>
      <c r="C104" s="88"/>
      <c r="D104" s="89"/>
      <c r="M104" s="91"/>
      <c r="N104" s="91"/>
      <c r="O104" s="91"/>
      <c r="P104" s="91"/>
      <c r="Q104" s="91"/>
      <c r="R104" s="91"/>
      <c r="S104" s="91"/>
      <c r="T104" s="91"/>
    </row>
    <row r="105" spans="2:20" ht="15.75">
      <c r="B105" s="33"/>
      <c r="C105" s="199">
        <v>2005</v>
      </c>
      <c r="D105" s="199">
        <v>2006</v>
      </c>
      <c r="E105" s="200">
        <v>2007</v>
      </c>
    </row>
    <row r="106" spans="2:20">
      <c r="B106" s="79" t="s">
        <v>91</v>
      </c>
      <c r="C106" s="81">
        <v>1</v>
      </c>
      <c r="D106" s="95">
        <f>3/4</f>
        <v>0.75</v>
      </c>
      <c r="E106" s="193">
        <v>0.75</v>
      </c>
    </row>
    <row r="107" spans="2:20">
      <c r="D107" s="15"/>
    </row>
    <row r="109" spans="2:20">
      <c r="E109" s="49" t="s">
        <v>196</v>
      </c>
      <c r="F109" s="49" t="s">
        <v>94</v>
      </c>
      <c r="G109" s="49"/>
    </row>
    <row r="110" spans="2:20" ht="38.25">
      <c r="E110" s="38" t="s">
        <v>197</v>
      </c>
      <c r="F110" s="39" t="s">
        <v>95</v>
      </c>
      <c r="G110" s="40"/>
    </row>
    <row r="111" spans="2:20">
      <c r="E111" s="38"/>
      <c r="F111" s="39"/>
      <c r="G111" s="45">
        <f>9.2+13.6</f>
        <v>22.799999999999997</v>
      </c>
    </row>
  </sheetData>
  <mergeCells count="18">
    <mergeCell ref="B5:B6"/>
    <mergeCell ref="C5:C6"/>
    <mergeCell ref="C49:D49"/>
    <mergeCell ref="E49:F49"/>
    <mergeCell ref="B10:B15"/>
    <mergeCell ref="B16:B17"/>
    <mergeCell ref="B7:B9"/>
    <mergeCell ref="K49:L49"/>
    <mergeCell ref="G49:H49"/>
    <mergeCell ref="I49:J49"/>
    <mergeCell ref="D5:D6"/>
    <mergeCell ref="E5:F5"/>
    <mergeCell ref="E7:E8"/>
    <mergeCell ref="F7:F8"/>
    <mergeCell ref="G7:G8"/>
    <mergeCell ref="I5:J5"/>
    <mergeCell ref="H7:H8"/>
    <mergeCell ref="G5:H5"/>
  </mergeCells>
  <phoneticPr fontId="5" type="noConversion"/>
  <pageMargins left="0.75" right="0.75" top="1" bottom="1" header="0" footer="0"/>
  <pageSetup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43"/>
  <dimension ref="C3:Q224"/>
  <sheetViews>
    <sheetView topLeftCell="E1" workbookViewId="0">
      <selection activeCell="Q13" sqref="Q13:Q17"/>
    </sheetView>
  </sheetViews>
  <sheetFormatPr baseColWidth="10" defaultRowHeight="12.75"/>
  <cols>
    <col min="3" max="3" width="19.42578125" style="290" customWidth="1"/>
    <col min="5" max="5" width="18.28515625" style="258" customWidth="1"/>
    <col min="7" max="7" width="18" style="258" customWidth="1"/>
    <col min="11" max="11" width="15.140625" customWidth="1"/>
  </cols>
  <sheetData>
    <row r="3" spans="3:17">
      <c r="C3" s="272">
        <v>2006</v>
      </c>
      <c r="E3" s="272">
        <v>2007</v>
      </c>
      <c r="G3" s="272">
        <v>2008</v>
      </c>
      <c r="I3">
        <v>2011</v>
      </c>
    </row>
    <row r="4" spans="3:17">
      <c r="C4" s="273" t="s">
        <v>467</v>
      </c>
      <c r="E4" s="273" t="s">
        <v>467</v>
      </c>
      <c r="G4" s="273" t="s">
        <v>467</v>
      </c>
    </row>
    <row r="5" spans="3:17" ht="15">
      <c r="C5" s="274" t="s">
        <v>468</v>
      </c>
      <c r="E5" s="275">
        <v>4.22</v>
      </c>
      <c r="G5" s="276"/>
      <c r="I5" s="312">
        <v>7.6219999999999999</v>
      </c>
    </row>
    <row r="6" spans="3:17" ht="15">
      <c r="C6" s="277">
        <v>2.8250000000000002</v>
      </c>
      <c r="E6" s="275">
        <v>3.0369999999999999</v>
      </c>
      <c r="G6" s="278">
        <v>7.18</v>
      </c>
      <c r="I6" s="313">
        <v>6.6020000000000003</v>
      </c>
    </row>
    <row r="7" spans="3:17" ht="15">
      <c r="C7" s="277">
        <v>2.8250000000000002</v>
      </c>
      <c r="E7" s="279">
        <v>2.8519999999999999</v>
      </c>
      <c r="G7" s="278">
        <v>7.18</v>
      </c>
      <c r="I7" s="314">
        <v>6.4</v>
      </c>
    </row>
    <row r="8" spans="3:17" ht="15">
      <c r="C8" s="277">
        <v>2.8250000000000002</v>
      </c>
      <c r="E8" s="279">
        <v>2.7010000000000001</v>
      </c>
      <c r="G8" s="280">
        <v>5.4059999999999997</v>
      </c>
      <c r="I8" s="329">
        <v>4.8959999999999999</v>
      </c>
    </row>
    <row r="9" spans="3:17" ht="15">
      <c r="C9" s="277">
        <v>2.8250000000000002</v>
      </c>
      <c r="E9" s="279">
        <v>2.6269999999999998</v>
      </c>
      <c r="G9" s="281">
        <v>4.4580000000000002</v>
      </c>
      <c r="I9" s="330">
        <v>4.7460000000000004</v>
      </c>
    </row>
    <row r="10" spans="3:17" ht="15">
      <c r="C10" s="277">
        <v>2.391</v>
      </c>
      <c r="E10" s="279">
        <v>2.5419999999999998</v>
      </c>
      <c r="G10" s="282">
        <v>4.4530000000000003</v>
      </c>
      <c r="I10" s="330">
        <v>4.3259999999999996</v>
      </c>
    </row>
    <row r="11" spans="3:17" ht="15">
      <c r="C11" s="277">
        <v>2.3330000000000002</v>
      </c>
      <c r="E11" s="279">
        <v>2.4380000000000002</v>
      </c>
      <c r="G11" s="281">
        <v>4.194</v>
      </c>
      <c r="I11" s="331">
        <v>4.29</v>
      </c>
    </row>
    <row r="12" spans="3:17" ht="15">
      <c r="C12" s="277">
        <v>2.3039999999999998</v>
      </c>
      <c r="E12" s="279">
        <v>2.1869999999999998</v>
      </c>
      <c r="G12" s="281">
        <v>3.58</v>
      </c>
      <c r="I12" s="329">
        <v>4.2690000000000001</v>
      </c>
      <c r="K12" s="283"/>
      <c r="L12" s="283">
        <v>2006</v>
      </c>
      <c r="M12" s="283">
        <v>2007</v>
      </c>
      <c r="N12" s="283">
        <v>2008</v>
      </c>
      <c r="O12" s="283">
        <v>2009</v>
      </c>
      <c r="P12" s="283">
        <v>2010</v>
      </c>
      <c r="Q12" s="283">
        <v>2011</v>
      </c>
    </row>
    <row r="13" spans="3:17" ht="15">
      <c r="C13" s="277">
        <v>2.2999999999999998</v>
      </c>
      <c r="E13" s="279">
        <v>2.1349999999999998</v>
      </c>
      <c r="G13" s="281">
        <v>3.3959999999999999</v>
      </c>
      <c r="I13" s="329">
        <v>3.794</v>
      </c>
      <c r="K13" s="332" t="s">
        <v>469</v>
      </c>
      <c r="L13" s="332">
        <v>36</v>
      </c>
      <c r="M13" s="332">
        <v>29</v>
      </c>
      <c r="N13" s="332">
        <v>32</v>
      </c>
      <c r="O13" s="332">
        <v>23</v>
      </c>
      <c r="P13" s="333">
        <v>27</v>
      </c>
      <c r="Q13" s="333">
        <v>29</v>
      </c>
    </row>
    <row r="14" spans="3:17" ht="15">
      <c r="C14" s="277">
        <v>2.19</v>
      </c>
      <c r="E14" s="279">
        <v>2.1349999999999998</v>
      </c>
      <c r="G14" s="281">
        <v>3.39</v>
      </c>
      <c r="I14" s="329">
        <v>3.7909999999999999</v>
      </c>
      <c r="K14" s="334" t="s">
        <v>470</v>
      </c>
      <c r="L14" s="334">
        <v>20</v>
      </c>
      <c r="M14" s="334">
        <v>33</v>
      </c>
      <c r="N14" s="334">
        <v>49</v>
      </c>
      <c r="O14" s="334">
        <v>60</v>
      </c>
      <c r="P14" s="335">
        <v>42</v>
      </c>
      <c r="Q14" s="335">
        <v>30</v>
      </c>
    </row>
    <row r="15" spans="3:17" ht="15">
      <c r="C15" s="277">
        <v>2.19</v>
      </c>
      <c r="E15" s="284">
        <v>1.9870000000000001</v>
      </c>
      <c r="G15" s="281">
        <v>3.19</v>
      </c>
      <c r="I15" s="329">
        <v>3.774</v>
      </c>
      <c r="K15" s="336" t="s">
        <v>471</v>
      </c>
      <c r="L15" s="336">
        <v>14</v>
      </c>
      <c r="M15" s="336">
        <v>8</v>
      </c>
      <c r="N15" s="336">
        <v>9</v>
      </c>
      <c r="O15" s="336">
        <v>19</v>
      </c>
      <c r="P15" s="337">
        <v>20</v>
      </c>
      <c r="Q15" s="337">
        <v>36</v>
      </c>
    </row>
    <row r="16" spans="3:17" ht="15">
      <c r="C16" s="277">
        <v>2.1869999999999998</v>
      </c>
      <c r="E16" s="284">
        <v>1.623</v>
      </c>
      <c r="G16" s="281">
        <v>3.1219999999999999</v>
      </c>
      <c r="I16" s="331">
        <v>3.65</v>
      </c>
      <c r="K16" s="338" t="s">
        <v>472</v>
      </c>
      <c r="L16" s="338">
        <v>0</v>
      </c>
      <c r="M16" s="338">
        <v>2</v>
      </c>
      <c r="N16" s="338">
        <v>8</v>
      </c>
      <c r="O16" s="338">
        <v>9</v>
      </c>
      <c r="P16" s="339">
        <v>14</v>
      </c>
      <c r="Q16" s="339">
        <v>17</v>
      </c>
    </row>
    <row r="17" spans="3:17" ht="15">
      <c r="C17" s="277">
        <v>2.1709999999999998</v>
      </c>
      <c r="E17" s="284">
        <v>1.597</v>
      </c>
      <c r="G17" s="281">
        <v>3.004</v>
      </c>
      <c r="I17" s="329">
        <v>3.4630000000000001</v>
      </c>
      <c r="K17" s="340" t="s">
        <v>473</v>
      </c>
      <c r="L17" s="341">
        <v>0</v>
      </c>
      <c r="M17" s="341">
        <v>0</v>
      </c>
      <c r="N17" s="341">
        <v>0</v>
      </c>
      <c r="O17" s="341">
        <v>2</v>
      </c>
      <c r="P17" s="342">
        <v>1</v>
      </c>
      <c r="Q17" s="342">
        <v>3</v>
      </c>
    </row>
    <row r="18" spans="3:17" ht="15">
      <c r="C18" s="277">
        <v>2.1709999999999998</v>
      </c>
      <c r="E18" s="284">
        <v>1.583</v>
      </c>
      <c r="G18" s="281">
        <v>2.9750000000000001</v>
      </c>
      <c r="I18" s="329">
        <v>3.4630000000000001</v>
      </c>
    </row>
    <row r="19" spans="3:17" ht="15">
      <c r="C19" s="277">
        <v>2.1709999999999998</v>
      </c>
      <c r="E19" s="284">
        <v>1.581</v>
      </c>
      <c r="G19" s="281">
        <v>2.9750000000000001</v>
      </c>
      <c r="I19" s="330">
        <v>3.4540000000000002</v>
      </c>
    </row>
    <row r="20" spans="3:17" ht="15">
      <c r="C20" s="285">
        <v>1.9219999999999999</v>
      </c>
      <c r="E20" s="284">
        <v>1.5629999999999999</v>
      </c>
      <c r="G20" s="281">
        <v>2.9750000000000001</v>
      </c>
      <c r="I20" s="330">
        <v>3.2650000000000001</v>
      </c>
    </row>
    <row r="21" spans="3:17" ht="15">
      <c r="C21" s="285">
        <v>1.867</v>
      </c>
      <c r="E21" s="284">
        <v>1.5629999999999999</v>
      </c>
      <c r="G21" s="281">
        <v>2.2930000000000001</v>
      </c>
      <c r="I21" s="330">
        <v>3.2530000000000001</v>
      </c>
    </row>
    <row r="22" spans="3:17" ht="15">
      <c r="C22" s="285">
        <v>1.7569999999999999</v>
      </c>
      <c r="E22" s="284">
        <v>1.5129999999999999</v>
      </c>
      <c r="G22" s="281">
        <v>2.2930000000000001</v>
      </c>
      <c r="I22" s="329">
        <v>3.226</v>
      </c>
    </row>
    <row r="23" spans="3:17" ht="15">
      <c r="C23" s="285">
        <v>1.623</v>
      </c>
      <c r="E23" s="284">
        <v>1.504</v>
      </c>
      <c r="G23" s="281">
        <v>2.2930000000000001</v>
      </c>
      <c r="I23" s="329">
        <v>3.1549999999999998</v>
      </c>
    </row>
    <row r="24" spans="3:17" ht="15">
      <c r="C24" s="285">
        <v>1.623</v>
      </c>
      <c r="E24" s="284">
        <v>1.49</v>
      </c>
      <c r="G24" s="281">
        <v>2.2930000000000001</v>
      </c>
      <c r="I24" s="329">
        <v>3.0680000000000001</v>
      </c>
    </row>
    <row r="25" spans="3:17" ht="15">
      <c r="C25" s="285">
        <v>1.5980000000000001</v>
      </c>
      <c r="E25" s="284">
        <v>1.369</v>
      </c>
      <c r="G25" s="281">
        <v>2.2010000000000001</v>
      </c>
      <c r="I25" s="324">
        <v>2.9929999999999999</v>
      </c>
    </row>
    <row r="26" spans="3:17" ht="15">
      <c r="C26" s="285">
        <v>1.5980000000000001</v>
      </c>
      <c r="E26" s="284">
        <v>1.34</v>
      </c>
      <c r="G26" s="282">
        <v>2.2010000000000001</v>
      </c>
      <c r="I26" s="325">
        <v>2.87</v>
      </c>
    </row>
    <row r="27" spans="3:17" ht="15">
      <c r="C27" s="285">
        <v>1.575</v>
      </c>
      <c r="E27" s="284">
        <v>1.3240000000000001</v>
      </c>
      <c r="G27" s="281">
        <v>2.2010000000000001</v>
      </c>
      <c r="I27" s="324">
        <v>2.8079999999999998</v>
      </c>
    </row>
    <row r="28" spans="3:17" ht="15">
      <c r="C28" s="285">
        <v>1.5629999999999999</v>
      </c>
      <c r="E28" s="284">
        <v>1.319</v>
      </c>
      <c r="G28" s="281">
        <v>2.2010000000000001</v>
      </c>
      <c r="I28" s="324">
        <v>2.8079999999999998</v>
      </c>
    </row>
    <row r="29" spans="3:17" ht="15">
      <c r="C29" s="285">
        <v>1.5629999999999999</v>
      </c>
      <c r="E29" s="284">
        <v>1.3149999999999999</v>
      </c>
      <c r="G29" s="281">
        <v>2.2010000000000001</v>
      </c>
      <c r="I29" s="326">
        <v>2.8079999999999998</v>
      </c>
    </row>
    <row r="30" spans="3:17" ht="15">
      <c r="C30" s="285">
        <v>1.4219999999999999</v>
      </c>
      <c r="E30" s="284">
        <v>1.284</v>
      </c>
      <c r="G30" s="281">
        <v>2.2000000000000002</v>
      </c>
      <c r="I30" s="324">
        <v>2.8079999999999998</v>
      </c>
    </row>
    <row r="31" spans="3:17" ht="15">
      <c r="C31" s="285">
        <v>1.41</v>
      </c>
      <c r="E31" s="284">
        <v>1.248</v>
      </c>
      <c r="G31" s="281">
        <v>2.1040000000000001</v>
      </c>
      <c r="I31" s="326">
        <v>2.8079999999999998</v>
      </c>
    </row>
    <row r="32" spans="3:17" ht="15">
      <c r="C32" s="286">
        <v>1.3240000000000001</v>
      </c>
      <c r="E32" s="284">
        <v>1.248</v>
      </c>
      <c r="G32" s="282">
        <v>2.1040000000000001</v>
      </c>
      <c r="I32" s="326">
        <v>2.8079999999999998</v>
      </c>
    </row>
    <row r="33" spans="3:9" ht="15">
      <c r="C33" s="285">
        <v>1.32</v>
      </c>
      <c r="E33" s="284">
        <v>1.248</v>
      </c>
      <c r="G33" s="281">
        <v>2.1040000000000001</v>
      </c>
      <c r="I33" s="324">
        <v>2.8079999999999998</v>
      </c>
    </row>
    <row r="34" spans="3:9" ht="15">
      <c r="C34" s="285">
        <v>1.284</v>
      </c>
      <c r="E34" s="284">
        <v>1.22</v>
      </c>
      <c r="G34" s="281">
        <v>2.101</v>
      </c>
      <c r="I34" s="326">
        <v>2.8079999999999998</v>
      </c>
    </row>
    <row r="35" spans="3:9" ht="15">
      <c r="C35" s="285">
        <v>1.284</v>
      </c>
      <c r="E35" s="284">
        <v>1.1830000000000001</v>
      </c>
      <c r="G35" s="281">
        <v>2.056</v>
      </c>
      <c r="I35" s="324">
        <v>2.8079999999999998</v>
      </c>
    </row>
    <row r="36" spans="3:9" ht="15">
      <c r="C36" s="285">
        <v>1.2370000000000001</v>
      </c>
      <c r="E36" s="284">
        <v>1.1080000000000001</v>
      </c>
      <c r="G36" s="287">
        <v>2.04</v>
      </c>
      <c r="I36" s="324">
        <v>2.8079999999999998</v>
      </c>
    </row>
    <row r="37" spans="3:9" ht="15">
      <c r="C37" s="285">
        <v>1.1080000000000001</v>
      </c>
      <c r="E37" s="284">
        <v>1.0860000000000001</v>
      </c>
      <c r="G37" s="287">
        <v>2.0179999999999998</v>
      </c>
      <c r="I37" s="324">
        <v>2.8079999999999998</v>
      </c>
    </row>
    <row r="38" spans="3:9" ht="15">
      <c r="C38" s="285">
        <v>1.0620000000000001</v>
      </c>
      <c r="E38" s="284">
        <v>1.08</v>
      </c>
      <c r="G38" s="287">
        <v>2.0049999999999999</v>
      </c>
      <c r="I38" s="324">
        <v>2.8079999999999998</v>
      </c>
    </row>
    <row r="39" spans="3:9" ht="15">
      <c r="C39" s="285">
        <v>1.0269999999999999</v>
      </c>
      <c r="E39" s="284">
        <v>1.08</v>
      </c>
      <c r="G39" s="287">
        <v>2.0049999999999999</v>
      </c>
      <c r="I39" s="324">
        <v>2.8079999999999998</v>
      </c>
    </row>
    <row r="40" spans="3:9" ht="15">
      <c r="C40" s="288">
        <v>0.98199999999999998</v>
      </c>
      <c r="E40" s="284">
        <v>1.08</v>
      </c>
      <c r="G40" s="287">
        <v>1.9430000000000001</v>
      </c>
      <c r="I40" s="324">
        <v>2.8079999999999998</v>
      </c>
    </row>
    <row r="41" spans="3:9" ht="15">
      <c r="C41" s="288">
        <v>0.98199999999999998</v>
      </c>
      <c r="E41" s="284">
        <v>1.08</v>
      </c>
      <c r="G41" s="287">
        <v>1.9</v>
      </c>
      <c r="I41" s="324">
        <v>2.8079999999999998</v>
      </c>
    </row>
    <row r="42" spans="3:9" ht="15">
      <c r="C42" s="288">
        <v>0.95599999999999996</v>
      </c>
      <c r="E42" s="284">
        <v>1.0269999999999999</v>
      </c>
      <c r="G42" s="287">
        <v>1.895</v>
      </c>
      <c r="I42" s="324">
        <v>2.8079999999999998</v>
      </c>
    </row>
    <row r="43" spans="3:9" ht="15">
      <c r="C43" s="288">
        <v>0.86399999999999999</v>
      </c>
      <c r="E43" s="284">
        <v>1.0269999999999999</v>
      </c>
      <c r="G43" s="287">
        <v>1.895</v>
      </c>
      <c r="I43" s="327">
        <v>2.56</v>
      </c>
    </row>
    <row r="44" spans="3:9" ht="15">
      <c r="C44" s="288">
        <v>0.86399999999999999</v>
      </c>
      <c r="E44" s="284">
        <v>1.0269999999999999</v>
      </c>
      <c r="G44" s="287">
        <v>1.895</v>
      </c>
      <c r="I44" s="324">
        <v>2.4430000000000001</v>
      </c>
    </row>
    <row r="45" spans="3:9" ht="15">
      <c r="C45" s="288">
        <v>0.65900000000000003</v>
      </c>
      <c r="E45" s="284">
        <v>1.0269999999999999</v>
      </c>
      <c r="G45" s="287">
        <v>1.867</v>
      </c>
      <c r="I45" s="324">
        <v>2.4369999999999998</v>
      </c>
    </row>
    <row r="46" spans="3:9" ht="15">
      <c r="C46" s="288">
        <v>0.60699999999999998</v>
      </c>
      <c r="E46" s="284">
        <v>1.0269999999999999</v>
      </c>
      <c r="G46" s="287">
        <v>1.867</v>
      </c>
      <c r="I46" s="324">
        <v>2.359</v>
      </c>
    </row>
    <row r="47" spans="3:9" ht="15">
      <c r="C47" s="288">
        <v>0.60199999999999998</v>
      </c>
      <c r="E47" s="284">
        <v>1.026</v>
      </c>
      <c r="G47" s="287">
        <v>1.867</v>
      </c>
      <c r="I47" s="324">
        <v>2.3559999999999999</v>
      </c>
    </row>
    <row r="48" spans="3:9" ht="15">
      <c r="C48" s="288">
        <v>0.56499999999999995</v>
      </c>
      <c r="E48" s="289">
        <v>0.98199999999999998</v>
      </c>
      <c r="G48" s="287">
        <v>1.8460000000000001</v>
      </c>
      <c r="I48" s="324">
        <v>2.2429999999999999</v>
      </c>
    </row>
    <row r="49" spans="3:9" ht="15">
      <c r="C49" s="288">
        <v>0.55500000000000005</v>
      </c>
      <c r="E49" s="289">
        <v>0.95</v>
      </c>
      <c r="G49" s="287">
        <v>1.839</v>
      </c>
      <c r="I49" s="328">
        <v>2.234</v>
      </c>
    </row>
    <row r="50" spans="3:9" ht="15">
      <c r="C50" s="288">
        <v>0.49199999999999999</v>
      </c>
      <c r="E50" s="289">
        <v>0.95</v>
      </c>
      <c r="G50" s="287">
        <v>1.839</v>
      </c>
      <c r="I50" s="324">
        <v>2.1459999999999999</v>
      </c>
    </row>
    <row r="51" spans="3:9" ht="15">
      <c r="C51" s="288">
        <v>0.49</v>
      </c>
      <c r="E51" s="289">
        <v>0.95</v>
      </c>
      <c r="G51" s="287">
        <v>1.839</v>
      </c>
      <c r="I51" s="324">
        <v>2.1379999999999999</v>
      </c>
    </row>
    <row r="52" spans="3:9" ht="15">
      <c r="C52" s="288">
        <v>0.46</v>
      </c>
      <c r="E52" s="289">
        <v>0.94799999999999995</v>
      </c>
      <c r="G52" s="287">
        <v>1.8120000000000001</v>
      </c>
      <c r="I52" s="324">
        <v>2.1379999999999999</v>
      </c>
    </row>
    <row r="53" spans="3:9" ht="15">
      <c r="C53" s="288">
        <v>0.438</v>
      </c>
      <c r="E53" s="289">
        <v>0.94799999999999995</v>
      </c>
      <c r="G53" s="287">
        <v>1.806</v>
      </c>
      <c r="I53" s="324">
        <v>2.1379999999999999</v>
      </c>
    </row>
    <row r="54" spans="3:9" ht="15">
      <c r="C54" s="288">
        <v>0.40600000000000003</v>
      </c>
      <c r="E54" s="289">
        <v>0.91</v>
      </c>
      <c r="G54" s="287">
        <v>1.806</v>
      </c>
      <c r="I54" s="324">
        <v>2.1339999999999999</v>
      </c>
    </row>
    <row r="55" spans="3:9" ht="15">
      <c r="C55" s="288">
        <v>0.40600000000000003</v>
      </c>
      <c r="E55" s="289">
        <v>0.91</v>
      </c>
      <c r="G55" s="287">
        <v>1.7989999999999999</v>
      </c>
      <c r="I55" s="327">
        <v>2.12</v>
      </c>
    </row>
    <row r="56" spans="3:9" ht="15">
      <c r="C56" s="288">
        <v>0.39900000000000002</v>
      </c>
      <c r="E56" s="289">
        <v>0.91</v>
      </c>
      <c r="G56" s="287">
        <v>1.7989999999999999</v>
      </c>
      <c r="I56" s="324">
        <v>2.0790000000000002</v>
      </c>
    </row>
    <row r="57" spans="3:9" ht="15">
      <c r="C57" s="288">
        <v>0.34499999999999997</v>
      </c>
      <c r="E57" s="289">
        <v>0.80600000000000005</v>
      </c>
      <c r="G57" s="287">
        <v>1.7989999999999999</v>
      </c>
      <c r="I57" s="328">
        <v>2.056</v>
      </c>
    </row>
    <row r="58" spans="3:9" ht="15">
      <c r="C58" s="288">
        <v>0.34499999999999997</v>
      </c>
      <c r="E58" s="289">
        <v>0.77400000000000002</v>
      </c>
      <c r="G58" s="287">
        <v>1.7989999999999999</v>
      </c>
      <c r="I58" s="324">
        <v>2.036</v>
      </c>
    </row>
    <row r="59" spans="3:9" ht="15">
      <c r="C59" s="288">
        <v>0.32</v>
      </c>
      <c r="E59" s="289">
        <v>0.74099999999999999</v>
      </c>
      <c r="G59" s="287">
        <v>1.7310000000000001</v>
      </c>
      <c r="I59" s="324">
        <v>2.036</v>
      </c>
    </row>
    <row r="60" spans="3:9" ht="15">
      <c r="C60" s="288">
        <v>0.31900000000000001</v>
      </c>
      <c r="E60" s="289">
        <v>0.65900000000000003</v>
      </c>
      <c r="G60" s="287">
        <v>1.714</v>
      </c>
      <c r="I60" s="324">
        <v>2.0169999999999999</v>
      </c>
    </row>
    <row r="61" spans="3:9" ht="15">
      <c r="C61" s="288">
        <v>0.31900000000000001</v>
      </c>
      <c r="E61" s="289">
        <v>0.60699999999999998</v>
      </c>
      <c r="G61" s="287">
        <v>1.6779999999999999</v>
      </c>
      <c r="I61" s="320">
        <v>1.9079999999999999</v>
      </c>
    </row>
    <row r="62" spans="3:9" ht="15">
      <c r="C62" s="288">
        <v>0.315</v>
      </c>
      <c r="E62" s="289">
        <v>0.57699999999999996</v>
      </c>
      <c r="G62" s="287">
        <v>1.67</v>
      </c>
      <c r="I62" s="320">
        <v>1.899</v>
      </c>
    </row>
    <row r="63" spans="3:9" ht="15">
      <c r="C63" s="288">
        <v>0.27800000000000002</v>
      </c>
      <c r="E63" s="289">
        <v>0.39900000000000002</v>
      </c>
      <c r="G63" s="287">
        <v>1.607</v>
      </c>
      <c r="I63" s="321">
        <v>1.887</v>
      </c>
    </row>
    <row r="64" spans="3:9" ht="15">
      <c r="C64" s="288">
        <v>0.154</v>
      </c>
      <c r="E64" s="289">
        <v>0.255</v>
      </c>
      <c r="G64" s="287">
        <v>1.5940000000000001</v>
      </c>
      <c r="I64" s="320">
        <v>1.871</v>
      </c>
    </row>
    <row r="65" spans="3:9" ht="15">
      <c r="C65" s="288">
        <v>0.14099999999999999</v>
      </c>
      <c r="E65" s="289">
        <v>0.255</v>
      </c>
      <c r="G65" s="287">
        <v>1.552</v>
      </c>
      <c r="I65" s="320">
        <v>1.871</v>
      </c>
    </row>
    <row r="66" spans="3:9" ht="15">
      <c r="C66" s="288">
        <v>0.14099999999999999</v>
      </c>
      <c r="E66" s="289">
        <v>0.20300000000000001</v>
      </c>
      <c r="G66" s="287">
        <v>1.54</v>
      </c>
      <c r="I66" s="320">
        <v>1.871</v>
      </c>
    </row>
    <row r="67" spans="3:9" ht="15">
      <c r="C67" s="288">
        <v>0.14099999999999999</v>
      </c>
      <c r="E67" s="289">
        <v>0.20300000000000001</v>
      </c>
      <c r="G67" s="287">
        <v>1.51</v>
      </c>
      <c r="I67" s="322">
        <v>1.859</v>
      </c>
    </row>
    <row r="68" spans="3:9" ht="15">
      <c r="C68" s="288">
        <v>0.14099999999999999</v>
      </c>
      <c r="E68" s="289">
        <v>0.20300000000000001</v>
      </c>
      <c r="G68" s="287">
        <v>1.51</v>
      </c>
      <c r="I68" s="320">
        <v>1.859</v>
      </c>
    </row>
    <row r="69" spans="3:9" ht="15">
      <c r="C69" s="288">
        <v>0.14099999999999999</v>
      </c>
      <c r="E69" s="289">
        <v>0.20300000000000001</v>
      </c>
      <c r="G69" s="287">
        <v>1.51</v>
      </c>
      <c r="I69" s="320">
        <v>1.8280000000000001</v>
      </c>
    </row>
    <row r="70" spans="3:9" ht="15">
      <c r="C70" s="288">
        <v>0.14099999999999999</v>
      </c>
      <c r="E70" s="289">
        <v>0.20300000000000001</v>
      </c>
      <c r="G70" s="287">
        <v>1.51</v>
      </c>
      <c r="I70" s="322">
        <v>1.7649999999999999</v>
      </c>
    </row>
    <row r="71" spans="3:9" ht="15">
      <c r="C71" s="288">
        <v>0.14099999999999999</v>
      </c>
      <c r="E71" s="289">
        <v>0.20300000000000001</v>
      </c>
      <c r="G71" s="287">
        <v>1.51</v>
      </c>
      <c r="I71" s="320">
        <v>1.75</v>
      </c>
    </row>
    <row r="72" spans="3:9" ht="15">
      <c r="C72" s="288">
        <v>0.14099999999999999</v>
      </c>
      <c r="E72" s="289">
        <v>0.20300000000000001</v>
      </c>
      <c r="G72" s="287">
        <v>1.51</v>
      </c>
      <c r="I72" s="320">
        <v>1.679</v>
      </c>
    </row>
    <row r="73" spans="3:9" ht="15">
      <c r="C73" s="288">
        <v>0.14099999999999999</v>
      </c>
      <c r="E73" s="289">
        <v>0.20200000000000001</v>
      </c>
      <c r="G73" s="287">
        <v>1.456</v>
      </c>
      <c r="I73" s="320">
        <v>1.675</v>
      </c>
    </row>
    <row r="74" spans="3:9" ht="15">
      <c r="C74" s="288">
        <v>0.13900000000000001</v>
      </c>
      <c r="E74" s="289">
        <v>0.20100000000000001</v>
      </c>
      <c r="G74" s="287">
        <v>1.42</v>
      </c>
      <c r="I74" s="320">
        <v>1.649</v>
      </c>
    </row>
    <row r="75" spans="3:9" ht="15">
      <c r="C75" s="288">
        <v>0.125</v>
      </c>
      <c r="E75" s="289">
        <v>0.10199999999999999</v>
      </c>
      <c r="G75" s="287">
        <v>1.3879999999999999</v>
      </c>
      <c r="I75" s="320">
        <v>1.599</v>
      </c>
    </row>
    <row r="76" spans="3:9" ht="15">
      <c r="E76" s="289">
        <v>3.3000000000000002E-2</v>
      </c>
      <c r="G76" s="287">
        <v>1.35</v>
      </c>
      <c r="I76" s="320">
        <v>1.599</v>
      </c>
    </row>
    <row r="77" spans="3:9" ht="15">
      <c r="E77" s="291"/>
      <c r="G77" s="287">
        <v>1.2250000000000001</v>
      </c>
      <c r="I77" s="320">
        <v>1.599</v>
      </c>
    </row>
    <row r="78" spans="3:9" ht="15">
      <c r="D78" s="258"/>
      <c r="E78" s="291"/>
      <c r="F78" s="258"/>
      <c r="G78" s="287">
        <v>1.2210000000000001</v>
      </c>
      <c r="I78" s="320">
        <v>1.5249999999999999</v>
      </c>
    </row>
    <row r="79" spans="3:9" ht="15">
      <c r="D79" s="258"/>
      <c r="E79" s="291"/>
      <c r="F79" s="258"/>
      <c r="G79" s="287">
        <v>1.2210000000000001</v>
      </c>
      <c r="I79" s="320">
        <v>1.5249999999999999</v>
      </c>
    </row>
    <row r="80" spans="3:9" ht="15">
      <c r="D80" s="258"/>
      <c r="E80" s="291"/>
      <c r="F80" s="258"/>
      <c r="G80" s="287">
        <v>1.2210000000000001</v>
      </c>
      <c r="I80" s="322">
        <v>1.496</v>
      </c>
    </row>
    <row r="81" spans="4:9" ht="15">
      <c r="D81" s="258"/>
      <c r="E81" s="291"/>
      <c r="F81" s="258"/>
      <c r="G81" s="287">
        <v>1.181</v>
      </c>
      <c r="I81" s="320">
        <v>1.492</v>
      </c>
    </row>
    <row r="82" spans="4:9" ht="15">
      <c r="D82" s="258"/>
      <c r="E82" s="291"/>
      <c r="F82" s="258"/>
      <c r="G82" s="287">
        <v>1.181</v>
      </c>
      <c r="I82" s="323">
        <v>1.41</v>
      </c>
    </row>
    <row r="83" spans="4:9" ht="14.25">
      <c r="D83" s="258"/>
      <c r="F83" s="258"/>
      <c r="G83" s="287">
        <v>1.167</v>
      </c>
      <c r="I83" s="320">
        <v>1.3660000000000001</v>
      </c>
    </row>
    <row r="84" spans="4:9" ht="14.25">
      <c r="D84" s="258"/>
      <c r="F84" s="258"/>
      <c r="G84" s="287">
        <v>1.167</v>
      </c>
      <c r="I84" s="320">
        <v>1.302</v>
      </c>
    </row>
    <row r="85" spans="4:9" ht="14.25">
      <c r="D85" s="258"/>
      <c r="F85" s="258"/>
      <c r="G85" s="287">
        <v>1.167</v>
      </c>
      <c r="I85" s="320">
        <v>1.296</v>
      </c>
    </row>
    <row r="86" spans="4:9" ht="14.25">
      <c r="D86" s="258"/>
      <c r="F86" s="258"/>
      <c r="G86" s="287">
        <v>1.167</v>
      </c>
      <c r="I86" s="322">
        <v>1.107</v>
      </c>
    </row>
    <row r="87" spans="4:9" ht="14.25">
      <c r="D87" s="258"/>
      <c r="F87" s="258"/>
      <c r="G87" s="287">
        <v>1.167</v>
      </c>
      <c r="I87" s="322">
        <v>1.077</v>
      </c>
    </row>
    <row r="88" spans="4:9" ht="14.25">
      <c r="D88" s="258"/>
      <c r="F88" s="258"/>
      <c r="G88" s="287">
        <v>1.167</v>
      </c>
      <c r="I88" s="322">
        <v>1.032</v>
      </c>
    </row>
    <row r="89" spans="4:9" ht="14.25">
      <c r="D89" s="258"/>
      <c r="F89" s="258"/>
      <c r="G89" s="287">
        <v>1.167</v>
      </c>
      <c r="I89" s="320">
        <v>1.014</v>
      </c>
    </row>
    <row r="90" spans="4:9" ht="14.25">
      <c r="D90" s="258"/>
      <c r="F90" s="258"/>
      <c r="G90" s="287">
        <v>1.167</v>
      </c>
      <c r="I90" s="320">
        <v>1.014</v>
      </c>
    </row>
    <row r="91" spans="4:9" ht="14.25">
      <c r="D91" s="258"/>
      <c r="F91" s="258"/>
      <c r="G91" s="287">
        <v>1.167</v>
      </c>
      <c r="I91" s="315">
        <v>0.998</v>
      </c>
    </row>
    <row r="92" spans="4:9" ht="14.25">
      <c r="D92" s="258"/>
      <c r="F92" s="258"/>
      <c r="G92" s="287">
        <v>1.143</v>
      </c>
      <c r="I92" s="316">
        <v>0.97</v>
      </c>
    </row>
    <row r="93" spans="4:9" ht="14.25">
      <c r="D93" s="258"/>
      <c r="F93" s="258"/>
      <c r="G93" s="287">
        <v>1.1259999999999999</v>
      </c>
      <c r="I93" s="317">
        <v>0.875</v>
      </c>
    </row>
    <row r="94" spans="4:9" ht="14.25">
      <c r="D94" s="258"/>
      <c r="F94" s="258"/>
      <c r="G94" s="287">
        <v>1.1140000000000001</v>
      </c>
      <c r="I94" s="318">
        <v>0.86</v>
      </c>
    </row>
    <row r="95" spans="4:9" ht="14.25">
      <c r="D95" s="258"/>
      <c r="F95" s="258"/>
      <c r="G95" s="292">
        <v>1.103</v>
      </c>
      <c r="I95" s="315">
        <v>0.84299999999999997</v>
      </c>
    </row>
    <row r="96" spans="4:9" ht="14.25">
      <c r="D96" s="258"/>
      <c r="F96" s="258"/>
      <c r="G96" s="293">
        <v>1.026</v>
      </c>
      <c r="I96" s="315">
        <v>0.752</v>
      </c>
    </row>
    <row r="97" spans="4:9" ht="14.25">
      <c r="D97" s="258"/>
      <c r="F97" s="258"/>
      <c r="G97" s="293">
        <v>1.022</v>
      </c>
      <c r="I97" s="315">
        <v>0.68700000000000006</v>
      </c>
    </row>
    <row r="98" spans="4:9" ht="14.25">
      <c r="D98" s="258"/>
      <c r="F98" s="258"/>
      <c r="G98" s="293">
        <v>0.91300000000000003</v>
      </c>
      <c r="I98" s="315">
        <v>0.68700000000000006</v>
      </c>
    </row>
    <row r="99" spans="4:9" ht="14.25">
      <c r="D99" s="258"/>
      <c r="F99" s="258"/>
      <c r="G99" s="293">
        <v>0.91300000000000003</v>
      </c>
      <c r="I99" s="315">
        <v>0.68700000000000006</v>
      </c>
    </row>
    <row r="100" spans="4:9" ht="14.25">
      <c r="D100" s="258"/>
      <c r="F100" s="258"/>
      <c r="G100" s="293">
        <v>0.91300000000000003</v>
      </c>
      <c r="I100" s="318">
        <v>0.68</v>
      </c>
    </row>
    <row r="101" spans="4:9" ht="14.25">
      <c r="D101" s="258"/>
      <c r="F101" s="258"/>
      <c r="G101" s="293">
        <v>0.84899999999999998</v>
      </c>
      <c r="I101" s="315">
        <v>0.63100000000000001</v>
      </c>
    </row>
    <row r="102" spans="4:9" ht="14.25">
      <c r="D102" s="258"/>
      <c r="F102" s="258"/>
      <c r="G102" s="293">
        <v>0.68</v>
      </c>
      <c r="I102" s="319">
        <v>0.628</v>
      </c>
    </row>
    <row r="103" spans="4:9" ht="14.25">
      <c r="D103" s="258"/>
      <c r="F103" s="258"/>
      <c r="G103" s="293">
        <v>0.67</v>
      </c>
      <c r="I103" s="318">
        <v>0.54</v>
      </c>
    </row>
    <row r="104" spans="4:9" ht="14.25">
      <c r="D104" s="258"/>
      <c r="F104" s="258"/>
      <c r="G104" s="294">
        <v>0.67</v>
      </c>
      <c r="I104" s="318">
        <v>0.54</v>
      </c>
    </row>
    <row r="105" spans="4:9" ht="14.25">
      <c r="D105" s="258"/>
      <c r="F105" s="258"/>
      <c r="G105" s="293">
        <v>0.67</v>
      </c>
      <c r="I105" s="318">
        <v>0.54</v>
      </c>
    </row>
    <row r="106" spans="4:9" ht="14.25">
      <c r="D106" s="258"/>
      <c r="F106" s="258"/>
      <c r="G106" s="293">
        <v>0.67</v>
      </c>
      <c r="I106" s="318">
        <v>0.54</v>
      </c>
    </row>
    <row r="107" spans="4:9" ht="14.25">
      <c r="D107" s="258"/>
      <c r="F107" s="258"/>
      <c r="G107" s="293">
        <v>0.56699999999999995</v>
      </c>
      <c r="I107" s="318">
        <v>0.54</v>
      </c>
    </row>
    <row r="108" spans="4:9" ht="14.25">
      <c r="D108" s="258"/>
      <c r="F108" s="258"/>
      <c r="G108" s="293">
        <v>0.56200000000000006</v>
      </c>
      <c r="I108" s="318">
        <v>0.54</v>
      </c>
    </row>
    <row r="109" spans="4:9" ht="14.25">
      <c r="D109" s="258"/>
      <c r="F109" s="258"/>
      <c r="G109" s="293">
        <v>0.54</v>
      </c>
      <c r="I109" s="318">
        <v>0.54</v>
      </c>
    </row>
    <row r="110" spans="4:9" ht="14.25">
      <c r="D110" s="258"/>
      <c r="F110" s="258"/>
      <c r="G110" s="293">
        <v>0.495</v>
      </c>
      <c r="I110" s="318">
        <v>0.54</v>
      </c>
    </row>
    <row r="111" spans="4:9" ht="14.25">
      <c r="D111" s="258"/>
      <c r="F111" s="258"/>
      <c r="G111" s="293">
        <v>0.41499999999999998</v>
      </c>
      <c r="I111" s="315">
        <v>0.49199999999999999</v>
      </c>
    </row>
    <row r="112" spans="4:9" ht="14.25">
      <c r="D112" s="258"/>
      <c r="F112" s="258"/>
      <c r="G112" s="293">
        <v>0.39</v>
      </c>
      <c r="I112" s="317">
        <v>0.49199999999999999</v>
      </c>
    </row>
    <row r="113" spans="3:10" ht="14.25">
      <c r="D113" s="258"/>
      <c r="F113" s="258"/>
      <c r="G113" s="293">
        <v>0.36699999999999999</v>
      </c>
      <c r="I113" s="315">
        <v>0.29199999999999998</v>
      </c>
    </row>
    <row r="114" spans="3:10" ht="14.25">
      <c r="D114" s="258"/>
      <c r="F114" s="258"/>
      <c r="G114" s="293">
        <v>0.32100000000000001</v>
      </c>
      <c r="I114" s="315">
        <v>0.29199999999999998</v>
      </c>
    </row>
    <row r="115" spans="3:10" ht="14.25">
      <c r="D115" s="258"/>
      <c r="F115" s="258"/>
      <c r="G115" s="293">
        <v>0.26200000000000001</v>
      </c>
      <c r="I115" s="315">
        <v>0.26400000000000001</v>
      </c>
    </row>
    <row r="116" spans="3:10" ht="14.25">
      <c r="D116" s="258"/>
      <c r="F116" s="258"/>
      <c r="G116" s="293">
        <v>0.26200000000000001</v>
      </c>
      <c r="I116" s="315">
        <v>0.26400000000000001</v>
      </c>
    </row>
    <row r="117" spans="3:10" ht="14.25">
      <c r="D117" s="258"/>
      <c r="F117" s="258"/>
      <c r="G117" s="293">
        <v>0.24199999999999999</v>
      </c>
      <c r="I117" s="315">
        <v>0.20399999999999999</v>
      </c>
    </row>
    <row r="118" spans="3:10" ht="14.25">
      <c r="D118" s="258"/>
      <c r="F118" s="258"/>
      <c r="G118" s="293">
        <v>0.222</v>
      </c>
      <c r="I118" s="317">
        <v>0.16700000000000001</v>
      </c>
    </row>
    <row r="119" spans="3:10" ht="14.25">
      <c r="D119" s="258"/>
      <c r="F119" s="258"/>
      <c r="G119" s="295">
        <v>0</v>
      </c>
      <c r="I119" s="317">
        <v>5.5E-2</v>
      </c>
    </row>
    <row r="120" spans="3:10" s="10" customFormat="1" ht="30">
      <c r="C120" s="296"/>
      <c r="D120" s="251"/>
      <c r="E120" s="251"/>
      <c r="F120" s="251"/>
      <c r="G120" s="297">
        <v>2010</v>
      </c>
      <c r="H120" s="298"/>
      <c r="I120" s="298"/>
      <c r="J120" s="298"/>
    </row>
    <row r="121" spans="3:10">
      <c r="D121" s="258"/>
      <c r="F121" s="258"/>
      <c r="G121" s="299">
        <v>0</v>
      </c>
      <c r="H121" s="300"/>
      <c r="I121" s="300"/>
      <c r="J121" s="300"/>
    </row>
    <row r="122" spans="3:10">
      <c r="D122" s="258"/>
      <c r="F122" s="258"/>
      <c r="G122" s="301">
        <v>0</v>
      </c>
      <c r="H122" s="302"/>
      <c r="I122" s="302"/>
      <c r="J122" s="302"/>
    </row>
    <row r="123" spans="3:10">
      <c r="D123" s="258"/>
      <c r="F123" s="258"/>
      <c r="G123" s="301">
        <v>0</v>
      </c>
      <c r="H123" s="302"/>
      <c r="I123" s="302"/>
      <c r="J123" s="302"/>
    </row>
    <row r="124" spans="3:10">
      <c r="D124" s="258"/>
      <c r="F124" s="258"/>
      <c r="G124" s="301">
        <v>0</v>
      </c>
      <c r="H124" s="302"/>
      <c r="I124" s="302"/>
      <c r="J124" s="302"/>
    </row>
    <row r="125" spans="3:10">
      <c r="D125" s="258"/>
      <c r="F125" s="258"/>
      <c r="G125" s="301">
        <v>0</v>
      </c>
      <c r="H125" s="302"/>
      <c r="I125" s="302"/>
      <c r="J125" s="302"/>
    </row>
    <row r="126" spans="3:10">
      <c r="D126" s="258"/>
      <c r="F126" s="258"/>
      <c r="G126" s="301">
        <v>0</v>
      </c>
      <c r="H126" s="302"/>
      <c r="I126" s="302"/>
      <c r="J126" s="302"/>
    </row>
    <row r="127" spans="3:10">
      <c r="D127" s="258"/>
      <c r="F127" s="258"/>
      <c r="G127" s="299">
        <v>0.22</v>
      </c>
      <c r="H127" s="300"/>
      <c r="I127" s="300"/>
      <c r="J127" s="300"/>
    </row>
    <row r="128" spans="3:10">
      <c r="D128" s="258"/>
      <c r="F128" s="258"/>
      <c r="G128" s="299">
        <v>0.32100000000000001</v>
      </c>
      <c r="H128" s="300"/>
      <c r="I128" s="300"/>
      <c r="J128" s="300"/>
    </row>
    <row r="129" spans="4:10">
      <c r="D129" s="258"/>
      <c r="F129" s="258"/>
      <c r="G129" s="299">
        <v>0.32100000000000001</v>
      </c>
      <c r="H129" s="300"/>
      <c r="I129" s="300"/>
      <c r="J129" s="300"/>
    </row>
    <row r="130" spans="4:10">
      <c r="D130" s="258"/>
      <c r="F130" s="258"/>
      <c r="G130" s="299">
        <v>0.32100000000000001</v>
      </c>
      <c r="H130" s="300"/>
      <c r="I130" s="300"/>
      <c r="J130" s="300"/>
    </row>
    <row r="131" spans="4:10">
      <c r="D131" s="258"/>
      <c r="F131" s="258"/>
      <c r="G131" s="301">
        <v>0.35099999999999998</v>
      </c>
      <c r="H131" s="302"/>
      <c r="I131" s="302"/>
      <c r="J131" s="302"/>
    </row>
    <row r="132" spans="4:10">
      <c r="D132" s="258"/>
      <c r="F132" s="258"/>
      <c r="G132" s="301">
        <v>0.39</v>
      </c>
      <c r="H132" s="302"/>
      <c r="I132" s="302"/>
      <c r="J132" s="302"/>
    </row>
    <row r="133" spans="4:10">
      <c r="D133" s="258"/>
      <c r="F133" s="258"/>
      <c r="G133" s="299">
        <v>0.433</v>
      </c>
      <c r="H133" s="300"/>
      <c r="I133" s="300"/>
      <c r="J133" s="300"/>
    </row>
    <row r="134" spans="4:10">
      <c r="D134" s="258"/>
      <c r="F134" s="258"/>
      <c r="G134" s="301">
        <v>0.51</v>
      </c>
      <c r="H134" s="302"/>
      <c r="I134" s="302"/>
      <c r="J134" s="302"/>
    </row>
    <row r="135" spans="4:10">
      <c r="D135" s="258"/>
      <c r="F135" s="258"/>
      <c r="G135" s="301">
        <v>0.55000000000000004</v>
      </c>
      <c r="H135" s="302"/>
      <c r="I135" s="302"/>
      <c r="J135" s="302"/>
    </row>
    <row r="136" spans="4:10">
      <c r="D136" s="258"/>
      <c r="F136" s="258"/>
      <c r="G136" s="301">
        <v>0.61399999999999999</v>
      </c>
      <c r="H136" s="302"/>
      <c r="I136" s="302"/>
      <c r="J136" s="302"/>
    </row>
    <row r="137" spans="4:10">
      <c r="D137" s="258"/>
      <c r="F137" s="258"/>
      <c r="G137" s="301">
        <v>0.622</v>
      </c>
      <c r="H137" s="302"/>
      <c r="I137" s="302"/>
      <c r="J137" s="302"/>
    </row>
    <row r="138" spans="4:10">
      <c r="D138" s="258"/>
      <c r="F138" s="258"/>
      <c r="G138" s="301">
        <v>0.72299999999999998</v>
      </c>
      <c r="H138" s="302"/>
      <c r="I138" s="302"/>
      <c r="J138" s="302"/>
    </row>
    <row r="139" spans="4:10">
      <c r="D139" s="258"/>
      <c r="F139" s="258"/>
      <c r="G139" s="299">
        <v>0.79500000000000004</v>
      </c>
      <c r="H139" s="300"/>
      <c r="I139" s="300"/>
      <c r="J139" s="300"/>
    </row>
    <row r="140" spans="4:10">
      <c r="D140" s="258"/>
      <c r="F140" s="258"/>
      <c r="G140" s="299">
        <v>0.876</v>
      </c>
      <c r="H140" s="300"/>
      <c r="I140" s="300"/>
      <c r="J140" s="300"/>
    </row>
    <row r="141" spans="4:10">
      <c r="D141" s="258"/>
      <c r="F141" s="258"/>
      <c r="G141" s="299">
        <v>0.876</v>
      </c>
      <c r="H141" s="300"/>
      <c r="I141" s="300"/>
      <c r="J141" s="300"/>
    </row>
    <row r="142" spans="4:10">
      <c r="D142" s="258"/>
      <c r="F142" s="258"/>
      <c r="G142" s="299">
        <v>0.876</v>
      </c>
      <c r="H142" s="300"/>
      <c r="I142" s="300"/>
      <c r="J142" s="300"/>
    </row>
    <row r="143" spans="4:10">
      <c r="D143" s="258"/>
      <c r="F143" s="258"/>
      <c r="G143" s="299">
        <v>0.876</v>
      </c>
      <c r="H143" s="300"/>
      <c r="I143" s="300"/>
      <c r="J143" s="300"/>
    </row>
    <row r="144" spans="4:10">
      <c r="D144" s="258"/>
      <c r="F144" s="258"/>
      <c r="G144" s="299">
        <v>0.876</v>
      </c>
      <c r="H144" s="300"/>
      <c r="I144" s="300"/>
      <c r="J144" s="300"/>
    </row>
    <row r="145" spans="4:10">
      <c r="D145" s="258"/>
      <c r="F145" s="258"/>
      <c r="G145" s="299">
        <v>0.876</v>
      </c>
      <c r="H145" s="300"/>
      <c r="I145" s="300"/>
      <c r="J145" s="300"/>
    </row>
    <row r="146" spans="4:10">
      <c r="D146" s="258"/>
      <c r="F146" s="258"/>
      <c r="G146" s="299">
        <v>0.876</v>
      </c>
      <c r="H146" s="300"/>
      <c r="I146" s="300"/>
      <c r="J146" s="300"/>
    </row>
    <row r="147" spans="4:10">
      <c r="D147" s="258"/>
      <c r="F147" s="258"/>
      <c r="G147" s="301">
        <v>0.97499999999999998</v>
      </c>
      <c r="H147" s="302"/>
      <c r="I147" s="302"/>
      <c r="J147" s="302"/>
    </row>
    <row r="148" spans="4:10">
      <c r="D148" s="258"/>
      <c r="F148" s="258"/>
      <c r="G148" s="303">
        <v>1.012</v>
      </c>
      <c r="H148" s="302"/>
      <c r="I148" s="302"/>
      <c r="J148" s="302"/>
    </row>
    <row r="149" spans="4:10">
      <c r="D149" s="258"/>
      <c r="F149" s="258"/>
      <c r="G149" s="304">
        <v>1.0229999999999999</v>
      </c>
      <c r="H149" s="300"/>
      <c r="I149" s="300"/>
      <c r="J149" s="300"/>
    </row>
    <row r="150" spans="4:10">
      <c r="D150" s="258"/>
      <c r="F150" s="258"/>
      <c r="G150" s="303">
        <v>1.056</v>
      </c>
      <c r="H150" s="302"/>
      <c r="I150" s="302"/>
      <c r="J150" s="302"/>
    </row>
    <row r="151" spans="4:10">
      <c r="D151" s="258"/>
      <c r="F151" s="258"/>
      <c r="G151" s="304">
        <v>1.085</v>
      </c>
      <c r="H151" s="300"/>
      <c r="I151" s="300"/>
      <c r="J151" s="300"/>
    </row>
    <row r="152" spans="4:10">
      <c r="D152" s="258"/>
      <c r="F152" s="258"/>
      <c r="G152" s="303">
        <v>1.17</v>
      </c>
      <c r="H152" s="302"/>
      <c r="I152" s="302"/>
      <c r="J152" s="302"/>
    </row>
    <row r="153" spans="4:10">
      <c r="D153" s="258"/>
      <c r="F153" s="258"/>
      <c r="G153" s="303">
        <v>1.2030000000000001</v>
      </c>
      <c r="H153" s="302"/>
      <c r="I153" s="302"/>
      <c r="J153" s="302"/>
    </row>
    <row r="154" spans="4:10">
      <c r="D154" s="258"/>
      <c r="F154" s="258"/>
      <c r="G154" s="303">
        <v>1.216</v>
      </c>
      <c r="H154" s="302"/>
      <c r="I154" s="302"/>
      <c r="J154" s="302"/>
    </row>
    <row r="155" spans="4:10">
      <c r="D155" s="258"/>
      <c r="F155" s="258"/>
      <c r="G155" s="303">
        <v>1.216</v>
      </c>
      <c r="H155" s="302"/>
      <c r="I155" s="302"/>
      <c r="J155" s="302"/>
    </row>
    <row r="156" spans="4:10">
      <c r="D156" s="258"/>
      <c r="F156" s="258"/>
      <c r="G156" s="303">
        <v>1.216</v>
      </c>
      <c r="H156" s="302"/>
      <c r="I156" s="302"/>
      <c r="J156" s="302"/>
    </row>
    <row r="157" spans="4:10">
      <c r="D157" s="258"/>
      <c r="F157" s="258"/>
      <c r="G157" s="303">
        <v>1.252</v>
      </c>
      <c r="H157" s="302"/>
      <c r="I157" s="302"/>
      <c r="J157" s="302"/>
    </row>
    <row r="158" spans="4:10">
      <c r="D158" s="258"/>
      <c r="F158" s="258"/>
      <c r="G158" s="303">
        <v>1.252</v>
      </c>
      <c r="H158" s="302"/>
      <c r="I158" s="302"/>
      <c r="J158" s="302"/>
    </row>
    <row r="159" spans="4:10">
      <c r="D159" s="258"/>
      <c r="F159" s="258"/>
      <c r="G159" s="304">
        <v>1.2729999999999999</v>
      </c>
      <c r="H159" s="300"/>
      <c r="I159" s="300"/>
      <c r="J159" s="300"/>
    </row>
    <row r="160" spans="4:10">
      <c r="D160" s="258"/>
      <c r="F160" s="258"/>
      <c r="G160" s="304">
        <v>1.323</v>
      </c>
      <c r="H160" s="300"/>
      <c r="I160" s="300"/>
      <c r="J160" s="300"/>
    </row>
    <row r="161" spans="4:10">
      <c r="D161" s="258"/>
      <c r="F161" s="258"/>
      <c r="G161" s="303">
        <v>1.33</v>
      </c>
      <c r="H161" s="302"/>
      <c r="I161" s="302"/>
      <c r="J161" s="302"/>
    </row>
    <row r="162" spans="4:10">
      <c r="D162" s="258"/>
      <c r="F162" s="258"/>
      <c r="G162" s="304">
        <v>1.393</v>
      </c>
      <c r="H162" s="300"/>
      <c r="I162" s="300"/>
      <c r="J162" s="300"/>
    </row>
    <row r="163" spans="4:10">
      <c r="D163" s="258"/>
      <c r="F163" s="258"/>
      <c r="G163" s="304">
        <v>1.393</v>
      </c>
      <c r="H163" s="300"/>
      <c r="I163" s="300"/>
      <c r="J163" s="300"/>
    </row>
    <row r="164" spans="4:10">
      <c r="D164" s="258"/>
      <c r="F164" s="258"/>
      <c r="G164" s="304">
        <v>1.4159999999999999</v>
      </c>
      <c r="H164" s="300"/>
      <c r="I164" s="300"/>
      <c r="J164" s="300"/>
    </row>
    <row r="165" spans="4:10">
      <c r="D165" s="258"/>
      <c r="F165" s="258"/>
      <c r="G165" s="304">
        <v>1.456</v>
      </c>
      <c r="H165" s="300"/>
      <c r="I165" s="300"/>
      <c r="J165" s="300"/>
    </row>
    <row r="166" spans="4:10">
      <c r="D166" s="258"/>
      <c r="F166" s="258"/>
      <c r="G166" s="303">
        <v>1.456</v>
      </c>
      <c r="H166" s="302"/>
      <c r="I166" s="302"/>
      <c r="J166" s="302"/>
    </row>
    <row r="167" spans="4:10">
      <c r="D167" s="258"/>
      <c r="F167" s="258"/>
      <c r="G167" s="304">
        <v>1.4710000000000001</v>
      </c>
      <c r="H167" s="300"/>
      <c r="I167" s="300"/>
      <c r="J167" s="300"/>
    </row>
    <row r="168" spans="4:10">
      <c r="D168" s="258"/>
      <c r="F168" s="258"/>
      <c r="G168" s="303">
        <v>1.526</v>
      </c>
      <c r="H168" s="302"/>
      <c r="I168" s="302"/>
      <c r="J168" s="302"/>
    </row>
    <row r="169" spans="4:10">
      <c r="D169" s="258"/>
      <c r="F169" s="258"/>
      <c r="G169" s="303">
        <v>1.5509999999999999</v>
      </c>
      <c r="H169" s="302"/>
      <c r="I169" s="302"/>
      <c r="J169" s="302"/>
    </row>
    <row r="170" spans="4:10">
      <c r="D170" s="258"/>
      <c r="F170" s="258"/>
      <c r="G170" s="304">
        <v>1.5509999999999999</v>
      </c>
      <c r="H170" s="300"/>
      <c r="I170" s="300"/>
      <c r="J170" s="300"/>
    </row>
    <row r="171" spans="4:10">
      <c r="D171" s="258"/>
      <c r="F171" s="258"/>
      <c r="G171" s="304">
        <v>1.5860000000000001</v>
      </c>
      <c r="H171" s="300"/>
      <c r="I171" s="300"/>
      <c r="J171" s="300"/>
    </row>
    <row r="172" spans="4:10">
      <c r="D172" s="258"/>
      <c r="F172" s="258"/>
      <c r="G172" s="304">
        <v>1.601</v>
      </c>
      <c r="H172" s="300"/>
      <c r="I172" s="300"/>
      <c r="J172" s="300"/>
    </row>
    <row r="173" spans="4:10">
      <c r="D173" s="258"/>
      <c r="F173" s="258"/>
      <c r="G173" s="303">
        <v>1.6160000000000001</v>
      </c>
      <c r="H173" s="302"/>
      <c r="I173" s="302"/>
      <c r="J173" s="302"/>
    </row>
    <row r="174" spans="4:10">
      <c r="D174" s="258"/>
      <c r="F174" s="258"/>
      <c r="G174" s="303">
        <v>1.69</v>
      </c>
      <c r="H174" s="302"/>
      <c r="I174" s="302"/>
      <c r="J174" s="302"/>
    </row>
    <row r="175" spans="4:10">
      <c r="D175" s="258"/>
      <c r="F175" s="258"/>
      <c r="G175" s="305">
        <v>1.6970000000000001</v>
      </c>
      <c r="H175" s="306"/>
      <c r="I175" s="306"/>
      <c r="J175" s="306"/>
    </row>
    <row r="176" spans="4:10">
      <c r="D176" s="258"/>
      <c r="F176" s="258"/>
      <c r="G176" s="305">
        <v>1.6970000000000001</v>
      </c>
      <c r="H176" s="306"/>
      <c r="I176" s="306"/>
      <c r="J176" s="306"/>
    </row>
    <row r="177" spans="4:10">
      <c r="D177" s="258"/>
      <c r="F177" s="258"/>
      <c r="G177" s="304">
        <v>1.7270000000000001</v>
      </c>
      <c r="H177" s="300"/>
      <c r="I177" s="300"/>
      <c r="J177" s="300"/>
    </row>
    <row r="178" spans="4:10">
      <c r="D178" s="258"/>
      <c r="F178" s="258"/>
      <c r="G178" s="304">
        <v>1.738</v>
      </c>
      <c r="H178" s="300"/>
      <c r="I178" s="300"/>
      <c r="J178" s="300"/>
    </row>
    <row r="179" spans="4:10">
      <c r="D179" s="258"/>
      <c r="F179" s="258"/>
      <c r="G179" s="304">
        <v>1.75</v>
      </c>
      <c r="H179" s="300"/>
      <c r="I179" s="300"/>
      <c r="J179" s="300"/>
    </row>
    <row r="180" spans="4:10">
      <c r="D180" s="258"/>
      <c r="F180" s="258"/>
      <c r="G180" s="304">
        <v>1.756</v>
      </c>
      <c r="H180" s="300"/>
      <c r="I180" s="300"/>
      <c r="J180" s="300"/>
    </row>
    <row r="181" spans="4:10">
      <c r="D181" s="258"/>
      <c r="F181" s="258"/>
      <c r="G181" s="304">
        <v>1.758</v>
      </c>
      <c r="H181" s="300"/>
      <c r="I181" s="300"/>
      <c r="J181" s="300"/>
    </row>
    <row r="182" spans="4:10">
      <c r="D182" s="258"/>
      <c r="F182" s="258"/>
      <c r="G182" s="303">
        <v>1.821</v>
      </c>
      <c r="H182" s="302"/>
      <c r="I182" s="302"/>
      <c r="J182" s="302"/>
    </row>
    <row r="183" spans="4:10">
      <c r="D183" s="258"/>
      <c r="F183" s="258"/>
      <c r="G183" s="304">
        <v>1.821</v>
      </c>
      <c r="H183" s="300"/>
      <c r="I183" s="300"/>
      <c r="J183" s="300"/>
    </row>
    <row r="184" spans="4:10">
      <c r="D184" s="258"/>
      <c r="F184" s="258"/>
      <c r="G184" s="303">
        <v>1.821</v>
      </c>
      <c r="H184" s="302"/>
      <c r="I184" s="302"/>
      <c r="J184" s="302"/>
    </row>
    <row r="185" spans="4:10">
      <c r="D185" s="258"/>
      <c r="F185" s="258"/>
      <c r="G185" s="303">
        <v>1.853</v>
      </c>
      <c r="H185" s="302"/>
      <c r="I185" s="302"/>
      <c r="J185" s="302"/>
    </row>
    <row r="186" spans="4:10">
      <c r="D186" s="258"/>
      <c r="F186" s="258"/>
      <c r="G186" s="303">
        <v>1.901</v>
      </c>
      <c r="H186" s="302"/>
      <c r="I186" s="302"/>
      <c r="J186" s="302"/>
    </row>
    <row r="187" spans="4:10">
      <c r="D187" s="258"/>
      <c r="F187" s="258"/>
      <c r="G187" s="304">
        <v>1.94</v>
      </c>
      <c r="H187" s="300"/>
      <c r="I187" s="300"/>
      <c r="J187" s="300"/>
    </row>
    <row r="188" spans="4:10">
      <c r="D188" s="258"/>
      <c r="F188" s="258"/>
      <c r="G188" s="304">
        <v>1.94</v>
      </c>
      <c r="H188" s="300"/>
      <c r="I188" s="300"/>
      <c r="J188" s="300"/>
    </row>
    <row r="189" spans="4:10">
      <c r="D189" s="258"/>
      <c r="F189" s="258"/>
      <c r="G189" s="304">
        <v>1.964</v>
      </c>
      <c r="H189" s="300"/>
      <c r="I189" s="300"/>
      <c r="J189" s="300"/>
    </row>
    <row r="190" spans="4:10">
      <c r="D190" s="258"/>
      <c r="F190" s="258"/>
      <c r="G190" s="307">
        <v>2.0150000000000001</v>
      </c>
      <c r="H190" s="300"/>
      <c r="I190" s="300"/>
      <c r="J190" s="300"/>
    </row>
    <row r="191" spans="4:10">
      <c r="D191" s="258"/>
      <c r="F191" s="258"/>
      <c r="G191" s="308">
        <v>2.0720000000000001</v>
      </c>
      <c r="H191" s="302"/>
      <c r="I191" s="302"/>
      <c r="J191" s="302"/>
    </row>
    <row r="192" spans="4:10">
      <c r="D192" s="258"/>
      <c r="F192" s="258"/>
      <c r="G192" s="308">
        <v>2.09</v>
      </c>
      <c r="H192" s="302"/>
      <c r="I192" s="302"/>
      <c r="J192" s="302"/>
    </row>
    <row r="193" spans="4:10">
      <c r="D193" s="258"/>
      <c r="F193" s="258"/>
      <c r="G193" s="308">
        <v>2.1349999999999998</v>
      </c>
      <c r="H193" s="302"/>
      <c r="I193" s="302"/>
      <c r="J193" s="302"/>
    </row>
    <row r="194" spans="4:10">
      <c r="D194" s="258"/>
      <c r="F194" s="258"/>
      <c r="G194" s="308">
        <v>2.1349999999999998</v>
      </c>
      <c r="H194" s="302"/>
      <c r="I194" s="302"/>
      <c r="J194" s="302"/>
    </row>
    <row r="195" spans="4:10">
      <c r="D195" s="258"/>
      <c r="F195" s="258"/>
      <c r="G195" s="308">
        <v>2.1349999999999998</v>
      </c>
      <c r="H195" s="302"/>
      <c r="I195" s="302"/>
      <c r="J195" s="302"/>
    </row>
    <row r="196" spans="4:10">
      <c r="D196" s="258"/>
      <c r="F196" s="258"/>
      <c r="G196" s="308">
        <v>2.1349999999999998</v>
      </c>
      <c r="H196" s="302"/>
      <c r="I196" s="302"/>
      <c r="J196" s="302"/>
    </row>
    <row r="197" spans="4:10">
      <c r="D197" s="258"/>
      <c r="F197" s="258"/>
      <c r="G197" s="308">
        <v>2.1349999999999998</v>
      </c>
      <c r="H197" s="302"/>
      <c r="I197" s="302"/>
      <c r="J197" s="302"/>
    </row>
    <row r="198" spans="4:10">
      <c r="D198" s="258"/>
      <c r="F198" s="258"/>
      <c r="G198" s="308">
        <v>2.1349999999999998</v>
      </c>
      <c r="H198" s="302"/>
      <c r="I198" s="302"/>
      <c r="J198" s="302"/>
    </row>
    <row r="199" spans="4:10">
      <c r="D199" s="258"/>
      <c r="F199" s="258"/>
      <c r="G199" s="308">
        <v>2.1349999999999998</v>
      </c>
      <c r="H199" s="302"/>
      <c r="I199" s="302"/>
      <c r="J199" s="302"/>
    </row>
    <row r="200" spans="4:10">
      <c r="D200" s="258"/>
      <c r="F200" s="258"/>
      <c r="G200" s="307">
        <v>2.1349999999999998</v>
      </c>
      <c r="H200" s="300"/>
      <c r="I200" s="300"/>
      <c r="J200" s="300"/>
    </row>
    <row r="201" spans="4:10">
      <c r="D201" s="258"/>
      <c r="F201" s="258"/>
      <c r="G201" s="308">
        <v>2.17</v>
      </c>
      <c r="H201" s="302"/>
      <c r="I201" s="302"/>
      <c r="J201" s="302"/>
    </row>
    <row r="202" spans="4:10">
      <c r="D202" s="258"/>
      <c r="F202" s="258"/>
      <c r="G202" s="307">
        <v>2.17</v>
      </c>
      <c r="H202" s="300"/>
      <c r="I202" s="300"/>
      <c r="J202" s="300"/>
    </row>
    <row r="203" spans="4:10">
      <c r="D203" s="258"/>
      <c r="F203" s="258"/>
      <c r="G203" s="308">
        <v>2.3130000000000002</v>
      </c>
      <c r="H203" s="302"/>
      <c r="I203" s="302"/>
      <c r="J203" s="302"/>
    </row>
    <row r="204" spans="4:10">
      <c r="D204" s="258"/>
      <c r="F204" s="258"/>
      <c r="G204" s="308">
        <v>2.3159999999999998</v>
      </c>
      <c r="H204" s="302"/>
      <c r="I204" s="302"/>
      <c r="J204" s="302"/>
    </row>
    <row r="205" spans="4:10">
      <c r="D205" s="258"/>
      <c r="F205" s="258"/>
      <c r="G205" s="308">
        <v>2.3359999999999999</v>
      </c>
      <c r="H205" s="302"/>
      <c r="I205" s="302"/>
      <c r="J205" s="302"/>
    </row>
    <row r="206" spans="4:10">
      <c r="D206" s="258"/>
      <c r="F206" s="258"/>
      <c r="G206" s="308">
        <v>2.34</v>
      </c>
      <c r="H206" s="302"/>
      <c r="I206" s="302"/>
      <c r="J206" s="302"/>
    </row>
    <row r="207" spans="4:10">
      <c r="D207" s="258"/>
      <c r="F207" s="258"/>
      <c r="G207" s="307">
        <v>2.4</v>
      </c>
      <c r="H207" s="300"/>
      <c r="I207" s="300"/>
      <c r="J207" s="300"/>
    </row>
    <row r="208" spans="4:10">
      <c r="D208" s="258"/>
      <c r="F208" s="258"/>
      <c r="G208" s="308">
        <v>2.66</v>
      </c>
      <c r="H208" s="302"/>
      <c r="I208" s="302"/>
      <c r="J208" s="302"/>
    </row>
    <row r="209" spans="4:10">
      <c r="D209" s="258"/>
      <c r="F209" s="258"/>
      <c r="G209" s="308">
        <v>2.8940000000000001</v>
      </c>
      <c r="H209" s="302"/>
      <c r="I209" s="302"/>
      <c r="J209" s="302"/>
    </row>
    <row r="210" spans="4:10">
      <c r="D210" s="258"/>
      <c r="F210" s="258"/>
      <c r="G210" s="309">
        <v>3.1349999999999998</v>
      </c>
      <c r="H210" s="300"/>
      <c r="I210" s="300"/>
      <c r="J210" s="300"/>
    </row>
    <row r="211" spans="4:10">
      <c r="D211" s="258"/>
      <c r="F211" s="258"/>
      <c r="G211" s="309">
        <v>3.1669999999999998</v>
      </c>
      <c r="H211" s="300"/>
      <c r="I211" s="300"/>
      <c r="J211" s="300"/>
    </row>
    <row r="212" spans="4:10">
      <c r="D212" s="258"/>
      <c r="F212" s="258"/>
      <c r="G212" s="309">
        <v>3.278</v>
      </c>
      <c r="H212" s="300"/>
      <c r="I212" s="300"/>
      <c r="J212" s="300"/>
    </row>
    <row r="213" spans="4:10">
      <c r="D213" s="258"/>
      <c r="F213" s="258"/>
      <c r="G213" s="309">
        <v>3.5539999999999998</v>
      </c>
      <c r="H213" s="300"/>
      <c r="I213" s="300"/>
      <c r="J213" s="300"/>
    </row>
    <row r="214" spans="4:10">
      <c r="D214" s="258"/>
      <c r="F214" s="258"/>
      <c r="G214" s="310">
        <v>3.5539999999999998</v>
      </c>
      <c r="H214" s="302"/>
      <c r="I214" s="302"/>
      <c r="J214" s="302"/>
    </row>
    <row r="215" spans="4:10">
      <c r="D215" s="258"/>
      <c r="F215" s="258"/>
      <c r="G215" s="309">
        <v>3.7919999999999998</v>
      </c>
      <c r="H215" s="300"/>
      <c r="I215" s="300"/>
      <c r="J215" s="300"/>
    </row>
    <row r="216" spans="4:10">
      <c r="D216" s="258"/>
      <c r="F216" s="258"/>
      <c r="G216" s="310">
        <v>3.7919999999999998</v>
      </c>
      <c r="H216" s="302"/>
      <c r="I216" s="302"/>
      <c r="J216" s="302"/>
    </row>
    <row r="217" spans="4:10">
      <c r="D217" s="258"/>
      <c r="F217" s="258"/>
      <c r="G217" s="309">
        <v>3.9449999999999998</v>
      </c>
      <c r="H217" s="300"/>
      <c r="I217" s="300"/>
      <c r="J217" s="300"/>
    </row>
    <row r="218" spans="4:10">
      <c r="D218" s="258"/>
      <c r="F218" s="258"/>
      <c r="G218" s="310">
        <v>3.9750000000000001</v>
      </c>
      <c r="H218" s="302"/>
      <c r="I218" s="302"/>
      <c r="J218" s="302"/>
    </row>
    <row r="219" spans="4:10">
      <c r="D219" s="258"/>
      <c r="F219" s="258"/>
      <c r="G219" s="309">
        <v>4.1440000000000001</v>
      </c>
      <c r="H219" s="300"/>
      <c r="I219" s="300"/>
      <c r="J219" s="300"/>
    </row>
    <row r="220" spans="4:10">
      <c r="D220" s="258"/>
      <c r="F220" s="258"/>
      <c r="G220" s="309">
        <v>4.1619999999999999</v>
      </c>
      <c r="H220" s="300"/>
      <c r="I220" s="300"/>
      <c r="J220" s="300"/>
    </row>
    <row r="221" spans="4:10">
      <c r="D221" s="258"/>
      <c r="F221" s="258"/>
      <c r="G221" s="309">
        <v>4.2190000000000003</v>
      </c>
      <c r="H221" s="300"/>
      <c r="I221" s="300"/>
      <c r="J221" s="300"/>
    </row>
    <row r="222" spans="4:10">
      <c r="D222" s="258"/>
      <c r="F222" s="258"/>
      <c r="G222" s="310">
        <v>4.3499999999999996</v>
      </c>
      <c r="H222" s="302"/>
      <c r="I222" s="302"/>
      <c r="J222" s="302"/>
    </row>
    <row r="223" spans="4:10">
      <c r="G223" s="309">
        <v>4.3849999999999998</v>
      </c>
      <c r="H223" s="300"/>
      <c r="I223" s="300"/>
      <c r="J223" s="300"/>
    </row>
    <row r="224" spans="4:10">
      <c r="G224" s="311">
        <v>5.44</v>
      </c>
      <c r="H224" s="300"/>
      <c r="I224" s="300"/>
      <c r="J224" s="300"/>
    </row>
  </sheetData>
  <sortState ref="I6:I119">
    <sortCondition descending="1" ref="I6:I11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44"/>
  <dimension ref="A1"/>
  <sheetViews>
    <sheetView topLeftCell="A37" workbookViewId="0">
      <selection activeCell="J46" sqref="J46"/>
    </sheetView>
  </sheetViews>
  <sheetFormatPr baseColWidth="10" defaultRowHeight="12.75"/>
  <sheetData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50"/>
  <dimension ref="A1"/>
  <sheetViews>
    <sheetView workbookViewId="0">
      <selection activeCell="B3" sqref="B3"/>
    </sheetView>
  </sheetViews>
  <sheetFormatPr baseColWidth="10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B2:F2"/>
  <sheetViews>
    <sheetView topLeftCell="A55" workbookViewId="0">
      <selection activeCell="D79" sqref="D79"/>
    </sheetView>
  </sheetViews>
  <sheetFormatPr baseColWidth="10" defaultRowHeight="12.75"/>
  <sheetData>
    <row r="2" spans="2:6">
      <c r="B2" s="530"/>
      <c r="C2" s="530"/>
      <c r="D2" s="530"/>
      <c r="E2" s="530"/>
      <c r="F2" s="530"/>
    </row>
  </sheetData>
  <mergeCells count="1">
    <mergeCell ref="B2:F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9" sqref="J19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Gráficos</vt:lpstr>
      </vt:variant>
      <vt:variant>
        <vt:i4>51</vt:i4>
      </vt:variant>
    </vt:vector>
  </HeadingPairs>
  <TitlesOfParts>
    <vt:vector size="59" baseType="lpstr">
      <vt:lpstr>Datos </vt:lpstr>
      <vt:lpstr>Hoja1</vt:lpstr>
      <vt:lpstr>2001-2006 Indicadores</vt:lpstr>
      <vt:lpstr>Hoja2</vt:lpstr>
      <vt:lpstr>Hoja3</vt:lpstr>
      <vt:lpstr>Ingresos Conv UM</vt:lpstr>
      <vt:lpstr>GRAFICAS ANUALES</vt:lpstr>
      <vt:lpstr>Hoja4</vt:lpstr>
      <vt:lpstr>Ingresos por Conv CIMAV-UM</vt:lpstr>
      <vt:lpstr>Ingresos por Conv CIMAV</vt:lpstr>
      <vt:lpstr>Servicios</vt:lpstr>
      <vt:lpstr>Capítulos de Libro</vt:lpstr>
      <vt:lpstr>Presup Fiscal Mod y ejer</vt:lpstr>
      <vt:lpstr>Verano Científico</vt:lpstr>
      <vt:lpstr>Ing x Serv y proyect</vt:lpstr>
      <vt:lpstr>Solicitudes de Patentes</vt:lpstr>
      <vt:lpstr>Personal Total</vt:lpstr>
      <vt:lpstr>Personal Académico</vt:lpstr>
      <vt:lpstr>Grado Academico</vt:lpstr>
      <vt:lpstr>SNI Año</vt:lpstr>
      <vt:lpstr>SNI</vt:lpstr>
      <vt:lpstr>Proyectos Investiga</vt:lpstr>
      <vt:lpstr>Proyectos</vt:lpstr>
      <vt:lpstr>Alum Atendidos</vt:lpstr>
      <vt:lpstr>Proy Conv</vt:lpstr>
      <vt:lpstr>Graduados</vt:lpstr>
      <vt:lpstr>Artículos Publicados</vt:lpstr>
      <vt:lpstr>Convenios Vig</vt:lpstr>
      <vt:lpstr>Ingresos por Inves (2)</vt:lpstr>
      <vt:lpstr>Matrícula</vt:lpstr>
      <vt:lpstr>Ingresos por personal académico</vt:lpstr>
      <vt:lpstr>Clientes Atend</vt:lpstr>
      <vt:lpstr>Citas</vt:lpstr>
      <vt:lpstr>Proyectos Convoc</vt:lpstr>
      <vt:lpstr>Ingresos</vt:lpstr>
      <vt:lpstr>Ingresos Totales</vt:lpstr>
      <vt:lpstr>Gasto</vt:lpstr>
      <vt:lpstr>Ingresos Prog y Captado</vt:lpstr>
      <vt:lpstr>Ingresos Prog y Captado (2)</vt:lpstr>
      <vt:lpstr>Gasto Programado y Ejercido</vt:lpstr>
      <vt:lpstr>Gasto Modificado y Ejercido </vt:lpstr>
      <vt:lpstr>Gráfico1</vt:lpstr>
      <vt:lpstr>Artículos</vt:lpstr>
      <vt:lpstr>Indicadores SNI</vt:lpstr>
      <vt:lpstr>Indicad Ef Terminal 1</vt:lpstr>
      <vt:lpstr>Indic Ingresos</vt:lpstr>
      <vt:lpstr>Programas</vt:lpstr>
      <vt:lpstr>FRH INVS</vt:lpstr>
      <vt:lpstr>Tiempo de Grad</vt:lpstr>
      <vt:lpstr>PNP y FRH</vt:lpstr>
      <vt:lpstr>Ppto Ejercido Total por persona</vt:lpstr>
      <vt:lpstr>UM Personal Total</vt:lpstr>
      <vt:lpstr>Personal Académico UM</vt:lpstr>
      <vt:lpstr>Artículos Publicados (2)</vt:lpstr>
      <vt:lpstr>Grado Academico UM</vt:lpstr>
      <vt:lpstr>SNI UM</vt:lpstr>
      <vt:lpstr>Matrícula UM</vt:lpstr>
      <vt:lpstr>Graduados MCCyT</vt:lpstr>
      <vt:lpstr>Ingresos por ServyProyUM</vt:lpstr>
    </vt:vector>
  </TitlesOfParts>
  <Company>Todos Nosotros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Cimav</dc:creator>
  <cp:lastModifiedBy>monica.miranda</cp:lastModifiedBy>
  <cp:lastPrinted>2007-02-19T18:47:01Z</cp:lastPrinted>
  <dcterms:created xsi:type="dcterms:W3CDTF">1998-10-01T03:59:58Z</dcterms:created>
  <dcterms:modified xsi:type="dcterms:W3CDTF">2014-02-11T16:59:11Z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1324470924</vt:i4>
  </property>
  <property fmtid="{D5CDD505-2E9C-101B-9397-08002B2CF9AE}" pid="3" name="_EmailSubject">
    <vt:lpwstr>DatosPtacionCEE2005.xls</vt:lpwstr>
  </property>
  <property fmtid="{D5CDD505-2E9C-101B-9397-08002B2CF9AE}" pid="4" name="_AuthorEmail">
    <vt:lpwstr>gilda.legarreta@cimav.edu.mx</vt:lpwstr>
  </property>
  <property fmtid="{D5CDD505-2E9C-101B-9397-08002B2CF9AE}" pid="5" name="_AuthorEmailDisplayName">
    <vt:lpwstr>Lic. Gilda Legarreta</vt:lpwstr>
  </property>
  <property fmtid="{D5CDD505-2E9C-101B-9397-08002B2CF9AE}" pid="6" name="_ReviewingToolsShownOnce">
    <vt:lpwstr/>
  </property>
</Properties>
</file>