
<file path=[Content_Types].xml><?xml version="1.0" encoding="utf-8"?>
<Types xmlns="http://schemas.openxmlformats.org/package/2006/content-types">
  <Override PartName="/xl/chartsheets/sheet46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35.xml" ContentType="application/vnd.openxmlformats-officedocument.spreadsheetml.chart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chartsheets/sheet13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7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drawings/drawing60.xml" ContentType="application/vnd.openxmlformats-officedocument.drawing+xml"/>
  <Override PartName="/xl/charts/chart56.xml" ContentType="application/vnd.openxmlformats-officedocument.drawingml.chart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heets/sheet29.xml" ContentType="application/vnd.openxmlformats-officedocument.spreadsheetml.chartsheet+xml"/>
  <Override PartName="/xl/chartsheets/sheet47.xml" ContentType="application/vnd.openxmlformats-officedocument.spreadsheetml.chart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heets/sheet18.xml" ContentType="application/vnd.openxmlformats-officedocument.spreadsheetml.chartsheet+xml"/>
  <Override PartName="/xl/chartsheets/sheet36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chartsheets/sheet25.xml" ContentType="application/vnd.openxmlformats-officedocument.spreadsheetml.chartsheet+xml"/>
  <Override PartName="/xl/chartsheets/sheet43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chartsheets/sheet14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50.xml" ContentType="application/vnd.openxmlformats-officedocument.spreadsheetml.chartsheet+xml"/>
  <Override PartName="/xl/worksheets/sheet8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chartsheets/sheet10.xml" ContentType="application/vnd.openxmlformats-officedocument.spreadsheetml.chartsheet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chart46.xml" ContentType="application/vnd.openxmlformats-officedocument.drawingml.char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48.xml" ContentType="application/vnd.openxmlformats-officedocument.spreadsheetml.chartshee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heets/sheet37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chartsheets/sheet15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44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ml.chartshapes+xml"/>
  <Override PartName="/xl/chartsheets/sheet22.xml" ContentType="application/vnd.openxmlformats-officedocument.spreadsheetml.chartsheet+xml"/>
  <Override PartName="/xl/chartsheets/sheet51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chartsheets/sheet11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chartsheets/sheet6.xml" ContentType="application/vnd.openxmlformats-officedocument.spreadsheetml.chart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omments2.xml" ContentType="application/vnd.openxmlformats-officedocument.spreadsheetml.comments+xml"/>
  <Override PartName="/xl/charts/chart36.xml" ContentType="application/vnd.openxmlformats-officedocument.drawingml.chart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chartsheets/sheet2.xml" ContentType="application/vnd.openxmlformats-officedocument.spreadsheetml.chartsheet+xml"/>
  <Override PartName="/xl/chartsheets/sheet49.xml" ContentType="application/vnd.openxmlformats-officedocument.spreadsheetml.chart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heets/sheet38.xml" ContentType="application/vnd.openxmlformats-officedocument.spreadsheetml.chart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heets/sheet27.xml" ContentType="application/vnd.openxmlformats-officedocument.spreadsheetml.chartsheet+xml"/>
  <Override PartName="/xl/chartsheets/sheet45.xml" ContentType="application/vnd.openxmlformats-officedocument.spreadsheetml.chartshee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52.xml" ContentType="application/vnd.openxmlformats-officedocument.spreadsheetml.chart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chartsheets/sheet23.xml" ContentType="application/vnd.openxmlformats-officedocument.spreadsheetml.chartsheet+xml"/>
  <Override PartName="/xl/chartsheets/sheet41.xml" ContentType="application/vnd.openxmlformats-officedocument.spreadsheetml.chartsheet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ml.chartshapes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heets/sheet12.xml" ContentType="application/vnd.openxmlformats-officedocument.spreadsheetml.chartsheet+xml"/>
  <Override PartName="/xl/chartsheets/sheet30.xml" ContentType="application/vnd.openxmlformats-officedocument.spreadsheetml.chartshee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chartsheets/sheet3.xml" ContentType="application/vnd.openxmlformats-officedocument.spreadsheetml.chart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heets/sheet28.xml" ContentType="application/vnd.openxmlformats-officedocument.spreadsheetml.chartsheet+xml"/>
  <Override PartName="/xl/chartsheets/sheet39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heets/sheet17.xml" ContentType="application/vnd.openxmlformats-officedocument.spreadsheetml.chart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405" windowWidth="19245" windowHeight="5220" tabRatio="815" firstSheet="9" activeTab="15"/>
  </bookViews>
  <sheets>
    <sheet name="Ingresos por Conv CIMAV-UM" sheetId="188" r:id="rId1"/>
    <sheet name="Ingresos por Conv CIMAV" sheetId="187" r:id="rId2"/>
    <sheet name="Servicios" sheetId="185" r:id="rId3"/>
    <sheet name="Capítulos de Libro" sheetId="184" r:id="rId4"/>
    <sheet name="Presup Fiscal Mod y ejer" sheetId="193" r:id="rId5"/>
    <sheet name="Verano Científico" sheetId="194" r:id="rId6"/>
    <sheet name="Ing x Serv y proyect" sheetId="209" r:id="rId7"/>
    <sheet name="Solicitudes de Patentes" sheetId="171" r:id="rId8"/>
    <sheet name="Publicacione x Inv" sheetId="214" r:id="rId9"/>
    <sheet name="Datos " sheetId="101" r:id="rId10"/>
    <sheet name="Personal Total" sheetId="147" r:id="rId11"/>
    <sheet name="Personal Académico" sheetId="157" r:id="rId12"/>
    <sheet name="Grado Academico" sheetId="166" r:id="rId13"/>
    <sheet name="SNI Año" sheetId="207" r:id="rId14"/>
    <sheet name="SNI" sheetId="163" r:id="rId15"/>
    <sheet name="Proyectos Investiga" sheetId="206" r:id="rId16"/>
    <sheet name="Proyectos" sheetId="183" r:id="rId17"/>
    <sheet name="Alum Atendidos" sheetId="158" r:id="rId18"/>
    <sheet name="Proy Conv" sheetId="150" r:id="rId19"/>
    <sheet name="Graduados" sheetId="128" r:id="rId20"/>
    <sheet name="Artículos Publicados" sheetId="109" r:id="rId21"/>
    <sheet name="Convenios Vig" sheetId="149" r:id="rId22"/>
    <sheet name="Ingresos por Inves (2)" sheetId="172" r:id="rId23"/>
    <sheet name="Matrícula" sheetId="152" r:id="rId24"/>
    <sheet name="Ingresos por personal académico" sheetId="120" r:id="rId25"/>
    <sheet name="Clientes Atend" sheetId="165" r:id="rId26"/>
    <sheet name="Citas" sheetId="173" r:id="rId27"/>
    <sheet name="Proyectos Convoc" sheetId="174" r:id="rId28"/>
    <sheet name="Ingresos" sheetId="168" r:id="rId29"/>
    <sheet name="Ingresos Totales" sheetId="179" r:id="rId30"/>
    <sheet name="Gasto" sheetId="170" r:id="rId31"/>
    <sheet name="Ingresos Prog y Captado" sheetId="175" r:id="rId32"/>
    <sheet name="Ingresos Prog y Captado (2)" sheetId="191" r:id="rId33"/>
    <sheet name="Gasto Programado y Ejercido" sheetId="176" r:id="rId34"/>
    <sheet name="Gasto Modificado y Ejercido " sheetId="181" r:id="rId35"/>
    <sheet name="Gráfico1" sheetId="178" r:id="rId36"/>
    <sheet name="Hoja1" sheetId="169" r:id="rId37"/>
    <sheet name="2001-2006 Indicadores" sheetId="143" r:id="rId38"/>
    <sheet name="Artículos" sheetId="154" r:id="rId39"/>
    <sheet name="Indicadores SNI" sheetId="132" r:id="rId40"/>
    <sheet name="Indicad Ef Terminal 1" sheetId="156" r:id="rId41"/>
    <sheet name="Indic Ingresos" sheetId="135" r:id="rId42"/>
    <sheet name="Programas" sheetId="161" r:id="rId43"/>
    <sheet name="FRH INVS" sheetId="160" r:id="rId44"/>
    <sheet name="Tiempo de Grad" sheetId="155" r:id="rId45"/>
    <sheet name="PNP y FRH" sheetId="159" r:id="rId46"/>
    <sheet name="Ppto Ejercido Total por persona" sheetId="130" r:id="rId47"/>
    <sheet name="Hoja2" sheetId="195" r:id="rId48"/>
    <sheet name="Hoja3" sheetId="196" r:id="rId49"/>
    <sheet name="UM Personal Total" sheetId="208" r:id="rId50"/>
    <sheet name="Personal Académico UM" sheetId="198" r:id="rId51"/>
    <sheet name="Artículos Publicados (2)" sheetId="199" r:id="rId52"/>
    <sheet name="Grado Academico UM" sheetId="200" r:id="rId53"/>
    <sheet name="SNI UM" sheetId="201" r:id="rId54"/>
    <sheet name="Ingresos Conv UM" sheetId="202" r:id="rId55"/>
    <sheet name="Matrícula UM" sheetId="203" r:id="rId56"/>
    <sheet name="Graduados MCCyT" sheetId="204" r:id="rId57"/>
    <sheet name="Ingresos por ServyProyUM" sheetId="205" r:id="rId58"/>
    <sheet name="GRAFICAS ANUALES" sheetId="210" r:id="rId59"/>
    <sheet name="Hoja4" sheetId="211" r:id="rId60"/>
  </sheets>
  <externalReferences>
    <externalReference r:id="rId61"/>
  </externalReferences>
  <definedNames>
    <definedName name="PROGRAMA">#REF!</definedName>
  </definedNames>
  <calcPr calcId="125725"/>
</workbook>
</file>

<file path=xl/calcChain.xml><?xml version="1.0" encoding="utf-8"?>
<calcChain xmlns="http://schemas.openxmlformats.org/spreadsheetml/2006/main">
  <c r="V377" i="101"/>
  <c r="U377"/>
  <c r="T377"/>
  <c r="R379" l="1"/>
  <c r="R380"/>
  <c r="R377"/>
  <c r="Q377"/>
  <c r="P377"/>
  <c r="W213"/>
  <c r="V213"/>
  <c r="U213"/>
  <c r="Y212"/>
  <c r="Y211"/>
  <c r="R372" l="1"/>
  <c r="Q372"/>
  <c r="T100"/>
  <c r="T102" s="1"/>
  <c r="S100"/>
  <c r="S102" s="1"/>
  <c r="S49"/>
  <c r="Q49"/>
  <c r="R49"/>
  <c r="P48" l="1"/>
  <c r="Q48"/>
  <c r="S39"/>
  <c r="S40"/>
  <c r="S41"/>
  <c r="S38"/>
  <c r="R8"/>
  <c r="Q8"/>
  <c r="R15"/>
  <c r="Q15"/>
  <c r="P15"/>
  <c r="Y199"/>
  <c r="Y198"/>
  <c r="Y197"/>
  <c r="X197"/>
  <c r="W197"/>
  <c r="V197"/>
  <c r="Y196"/>
  <c r="X196"/>
  <c r="W196"/>
  <c r="V196"/>
  <c r="Y195"/>
  <c r="X195"/>
  <c r="W195"/>
  <c r="V195"/>
  <c r="U195"/>
  <c r="R16" l="1"/>
  <c r="Q16"/>
  <c r="S16"/>
  <c r="R369"/>
  <c r="R387" l="1"/>
  <c r="R159" l="1"/>
  <c r="O137"/>
  <c r="P109"/>
  <c r="Q109"/>
  <c r="R109"/>
  <c r="R100"/>
  <c r="R99"/>
  <c r="R98"/>
  <c r="Q70"/>
  <c r="P70"/>
  <c r="R48"/>
  <c r="O76" l="1"/>
  <c r="N76"/>
  <c r="M76"/>
  <c r="L76"/>
  <c r="K76"/>
  <c r="J76"/>
  <c r="R88" l="1"/>
  <c r="R91" l="1"/>
  <c r="R90"/>
  <c r="R42" l="1"/>
  <c r="S660" l="1"/>
  <c r="R79" l="1"/>
  <c r="R78"/>
  <c r="R62"/>
  <c r="Y341" l="1"/>
  <c r="R148" l="1"/>
  <c r="R151" s="1"/>
  <c r="O132"/>
  <c r="R26" l="1"/>
  <c r="R370" l="1"/>
  <c r="R371" s="1"/>
  <c r="X552"/>
  <c r="K734" l="1"/>
  <c r="J734"/>
  <c r="N611" l="1"/>
  <c r="N610"/>
  <c r="N609"/>
  <c r="N608"/>
  <c r="N607"/>
  <c r="N606"/>
  <c r="N602"/>
  <c r="N612" s="1"/>
  <c r="X492"/>
  <c r="X491"/>
  <c r="X509" l="1"/>
  <c r="X500"/>
  <c r="X466"/>
  <c r="X483" s="1"/>
  <c r="X484" s="1"/>
  <c r="X537" l="1"/>
  <c r="X341" l="1"/>
  <c r="Y342" s="1"/>
  <c r="O15" l="1"/>
  <c r="N15"/>
  <c r="M15"/>
  <c r="L15"/>
  <c r="K15"/>
  <c r="J15"/>
  <c r="R552" l="1"/>
  <c r="S552"/>
  <c r="T552"/>
  <c r="U552"/>
  <c r="V552" l="1"/>
  <c r="W552"/>
  <c r="J726" l="1"/>
  <c r="J718"/>
  <c r="J710"/>
  <c r="K726"/>
  <c r="K718"/>
  <c r="K710"/>
  <c r="W574" l="1"/>
  <c r="W576"/>
  <c r="W575"/>
  <c r="W577" l="1"/>
  <c r="W537"/>
  <c r="V537"/>
  <c r="L611"/>
  <c r="L610"/>
  <c r="L609"/>
  <c r="L608"/>
  <c r="L607"/>
  <c r="L606"/>
  <c r="L602"/>
  <c r="L612" s="1"/>
  <c r="W559"/>
  <c r="W544"/>
  <c r="W542"/>
  <c r="W531"/>
  <c r="W546" l="1"/>
  <c r="W500" l="1"/>
  <c r="W492"/>
  <c r="W491"/>
  <c r="W509"/>
  <c r="Q155"/>
  <c r="W523" l="1"/>
  <c r="W522"/>
  <c r="W519"/>
  <c r="W521" s="1"/>
  <c r="W341" l="1"/>
  <c r="X342" l="1"/>
  <c r="W476"/>
  <c r="W475"/>
  <c r="W466"/>
  <c r="W483" l="1"/>
  <c r="W484" s="1"/>
  <c r="W543"/>
  <c r="W545" s="1"/>
  <c r="X418"/>
  <c r="X425" s="1"/>
  <c r="C25" i="143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E30"/>
  <c r="F30"/>
  <c r="G30"/>
  <c r="H30"/>
  <c r="I30"/>
  <c r="J30"/>
  <c r="K30"/>
  <c r="L30"/>
  <c r="M30"/>
  <c r="N30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K34"/>
  <c r="L34"/>
  <c r="C35"/>
  <c r="D35"/>
  <c r="E35"/>
  <c r="F35"/>
  <c r="G35"/>
  <c r="H35"/>
  <c r="I35"/>
  <c r="J35"/>
  <c r="C51"/>
  <c r="D51"/>
  <c r="E51"/>
  <c r="F51"/>
  <c r="G51"/>
  <c r="H51"/>
  <c r="I51"/>
  <c r="J51"/>
  <c r="K51"/>
  <c r="L51"/>
  <c r="C52"/>
  <c r="D52"/>
  <c r="E52"/>
  <c r="F52"/>
  <c r="G52"/>
  <c r="H52"/>
  <c r="I52"/>
  <c r="J52"/>
  <c r="K52"/>
  <c r="L52"/>
  <c r="C53"/>
  <c r="D53"/>
  <c r="E53"/>
  <c r="F53"/>
  <c r="G53"/>
  <c r="H53"/>
  <c r="I53"/>
  <c r="J53"/>
  <c r="K53"/>
  <c r="L53"/>
  <c r="C54"/>
  <c r="D54"/>
  <c r="E54"/>
  <c r="F54"/>
  <c r="G54"/>
  <c r="H54"/>
  <c r="I54"/>
  <c r="J54"/>
  <c r="K54"/>
  <c r="L54"/>
  <c r="C55"/>
  <c r="D55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C58"/>
  <c r="D58"/>
  <c r="E58"/>
  <c r="F58"/>
  <c r="G58"/>
  <c r="H58"/>
  <c r="I58"/>
  <c r="J58"/>
  <c r="K58"/>
  <c r="L58"/>
  <c r="C59"/>
  <c r="D59"/>
  <c r="E59"/>
  <c r="F59"/>
  <c r="G59"/>
  <c r="H59"/>
  <c r="I59"/>
  <c r="J59"/>
  <c r="K59"/>
  <c r="L59"/>
  <c r="K60"/>
  <c r="L60"/>
  <c r="C61"/>
  <c r="D61"/>
  <c r="E61"/>
  <c r="F61"/>
  <c r="G61"/>
  <c r="H61"/>
  <c r="I61"/>
  <c r="J61"/>
  <c r="C65"/>
  <c r="D65"/>
  <c r="E65"/>
  <c r="F65"/>
  <c r="G65"/>
  <c r="H65"/>
  <c r="I65"/>
  <c r="J65"/>
  <c r="K65"/>
  <c r="L65"/>
  <c r="M65"/>
  <c r="N65"/>
  <c r="C66"/>
  <c r="D66"/>
  <c r="E66"/>
  <c r="F66"/>
  <c r="G66"/>
  <c r="H66"/>
  <c r="I66"/>
  <c r="J66"/>
  <c r="K66"/>
  <c r="L66"/>
  <c r="M66"/>
  <c r="N66"/>
  <c r="G70"/>
  <c r="H70"/>
  <c r="G71"/>
  <c r="H71"/>
  <c r="G72"/>
  <c r="H72"/>
  <c r="G73"/>
  <c r="H73"/>
  <c r="G77"/>
  <c r="H77"/>
  <c r="G78"/>
  <c r="H78"/>
  <c r="G83"/>
  <c r="G84"/>
  <c r="G85"/>
  <c r="G86"/>
  <c r="F89"/>
  <c r="G89"/>
  <c r="F90"/>
  <c r="G90"/>
  <c r="F91"/>
  <c r="G91"/>
  <c r="F92"/>
  <c r="G92"/>
  <c r="C96"/>
  <c r="D96"/>
  <c r="E96"/>
  <c r="F96"/>
  <c r="G96"/>
  <c r="H96"/>
  <c r="C97"/>
  <c r="D97"/>
  <c r="E97"/>
  <c r="F97"/>
  <c r="G97"/>
  <c r="H97"/>
  <c r="C98"/>
  <c r="D98"/>
  <c r="E98"/>
  <c r="F98"/>
  <c r="C99"/>
  <c r="D99"/>
  <c r="E99"/>
  <c r="F99"/>
  <c r="C103"/>
  <c r="D106"/>
  <c r="G111"/>
  <c r="J26" i="101"/>
  <c r="K26"/>
  <c r="L26"/>
  <c r="M26"/>
  <c r="N26"/>
  <c r="O26"/>
  <c r="P26"/>
  <c r="S27" s="1"/>
  <c r="Q26"/>
  <c r="J29"/>
  <c r="J53" s="1"/>
  <c r="J54" s="1"/>
  <c r="K29"/>
  <c r="K99" s="1"/>
  <c r="L29"/>
  <c r="L53" s="1"/>
  <c r="L54" s="1"/>
  <c r="M29"/>
  <c r="M53" s="1"/>
  <c r="M54" s="1"/>
  <c r="N29"/>
  <c r="N53" s="1"/>
  <c r="N54" s="1"/>
  <c r="O29"/>
  <c r="O99" s="1"/>
  <c r="P29"/>
  <c r="P98" s="1"/>
  <c r="Q29"/>
  <c r="Q98" s="1"/>
  <c r="V466"/>
  <c r="V483" s="1"/>
  <c r="V484" s="1"/>
  <c r="J75"/>
  <c r="J78" s="1"/>
  <c r="K75"/>
  <c r="K78" s="1"/>
  <c r="L75"/>
  <c r="L78" s="1"/>
  <c r="M75"/>
  <c r="M78" s="1"/>
  <c r="N75"/>
  <c r="N78" s="1"/>
  <c r="O75"/>
  <c r="O78" s="1"/>
  <c r="P75"/>
  <c r="J77"/>
  <c r="K77"/>
  <c r="L77"/>
  <c r="M77"/>
  <c r="N77"/>
  <c r="O77"/>
  <c r="P77"/>
  <c r="Q78"/>
  <c r="Q79"/>
  <c r="J8"/>
  <c r="K8"/>
  <c r="L8"/>
  <c r="M8"/>
  <c r="N8"/>
  <c r="O8"/>
  <c r="R486"/>
  <c r="S486"/>
  <c r="O38"/>
  <c r="O42" s="1"/>
  <c r="J42"/>
  <c r="K42"/>
  <c r="L42"/>
  <c r="M42"/>
  <c r="N42"/>
  <c r="P42"/>
  <c r="Q42"/>
  <c r="P54"/>
  <c r="Q54"/>
  <c r="J62"/>
  <c r="K62"/>
  <c r="L62"/>
  <c r="M62"/>
  <c r="N62"/>
  <c r="O62"/>
  <c r="P62"/>
  <c r="Q62"/>
  <c r="V491"/>
  <c r="V492"/>
  <c r="J88"/>
  <c r="K88"/>
  <c r="L88"/>
  <c r="M88"/>
  <c r="N88"/>
  <c r="O88"/>
  <c r="P88"/>
  <c r="Q88"/>
  <c r="V519"/>
  <c r="V521" s="1"/>
  <c r="V522"/>
  <c r="V523"/>
  <c r="N132"/>
  <c r="J148"/>
  <c r="K148"/>
  <c r="L148"/>
  <c r="M148"/>
  <c r="N148"/>
  <c r="O148"/>
  <c r="P148"/>
  <c r="Q148"/>
  <c r="J324"/>
  <c r="K324"/>
  <c r="L324"/>
  <c r="M324"/>
  <c r="N324"/>
  <c r="O324"/>
  <c r="P324"/>
  <c r="Q324"/>
  <c r="R324"/>
  <c r="S324"/>
  <c r="T324"/>
  <c r="U324"/>
  <c r="V324"/>
  <c r="J333"/>
  <c r="K333"/>
  <c r="L341"/>
  <c r="M341"/>
  <c r="N341"/>
  <c r="O341"/>
  <c r="P341"/>
  <c r="N345" s="1"/>
  <c r="Q341"/>
  <c r="O345" s="1"/>
  <c r="R341"/>
  <c r="S341"/>
  <c r="Q345" s="1"/>
  <c r="T341"/>
  <c r="U341"/>
  <c r="V341"/>
  <c r="W342" s="1"/>
  <c r="L369"/>
  <c r="M369"/>
  <c r="N369"/>
  <c r="O369"/>
  <c r="P369"/>
  <c r="Q369"/>
  <c r="L371"/>
  <c r="M371"/>
  <c r="N371"/>
  <c r="O371"/>
  <c r="P371"/>
  <c r="P372"/>
  <c r="Q539"/>
  <c r="R539"/>
  <c r="S539"/>
  <c r="Q379"/>
  <c r="L380"/>
  <c r="M380"/>
  <c r="N380"/>
  <c r="O380"/>
  <c r="P380"/>
  <c r="T539"/>
  <c r="V544"/>
  <c r="V546" s="1"/>
  <c r="R391"/>
  <c r="R392"/>
  <c r="R396"/>
  <c r="R576" s="1"/>
  <c r="J398"/>
  <c r="K398"/>
  <c r="L398"/>
  <c r="M398"/>
  <c r="N398"/>
  <c r="O398"/>
  <c r="P398"/>
  <c r="Q398"/>
  <c r="S398"/>
  <c r="T398"/>
  <c r="U398"/>
  <c r="V398"/>
  <c r="J384"/>
  <c r="J574" s="1"/>
  <c r="K384"/>
  <c r="L384"/>
  <c r="L574" s="1"/>
  <c r="M384"/>
  <c r="M574" s="1"/>
  <c r="N384"/>
  <c r="N574" s="1"/>
  <c r="O384"/>
  <c r="O574" s="1"/>
  <c r="P384"/>
  <c r="P574" s="1"/>
  <c r="Q574"/>
  <c r="Q384"/>
  <c r="U574" s="1"/>
  <c r="V574"/>
  <c r="J385"/>
  <c r="J575" s="1"/>
  <c r="K385"/>
  <c r="K575" s="1"/>
  <c r="L385"/>
  <c r="L575" s="1"/>
  <c r="M385"/>
  <c r="M575" s="1"/>
  <c r="N385"/>
  <c r="N575" s="1"/>
  <c r="O385"/>
  <c r="O575" s="1"/>
  <c r="P385"/>
  <c r="P575" s="1"/>
  <c r="Q575"/>
  <c r="Q385"/>
  <c r="U575" s="1"/>
  <c r="V575"/>
  <c r="J386"/>
  <c r="K386"/>
  <c r="K576" s="1"/>
  <c r="L386"/>
  <c r="M386"/>
  <c r="M576" s="1"/>
  <c r="N386"/>
  <c r="N576" s="1"/>
  <c r="O386"/>
  <c r="O576" s="1"/>
  <c r="P386"/>
  <c r="P576" s="1"/>
  <c r="Q576"/>
  <c r="Q386"/>
  <c r="U576" s="1"/>
  <c r="V576"/>
  <c r="S577"/>
  <c r="R574"/>
  <c r="S574"/>
  <c r="T574"/>
  <c r="S575"/>
  <c r="T575"/>
  <c r="S576"/>
  <c r="T576"/>
  <c r="J596"/>
  <c r="J606" s="1"/>
  <c r="J597"/>
  <c r="J607" s="1"/>
  <c r="J598"/>
  <c r="J608" s="1"/>
  <c r="J599"/>
  <c r="J609" s="1"/>
  <c r="J600"/>
  <c r="J610" s="1"/>
  <c r="J601"/>
  <c r="J611" s="1"/>
  <c r="K602"/>
  <c r="K612" s="1"/>
  <c r="M602"/>
  <c r="M612" s="1"/>
  <c r="O602"/>
  <c r="O612" s="1"/>
  <c r="P602"/>
  <c r="Q602"/>
  <c r="R602"/>
  <c r="S602"/>
  <c r="T602"/>
  <c r="U602"/>
  <c r="K606"/>
  <c r="M606"/>
  <c r="O606"/>
  <c r="P606"/>
  <c r="Q606"/>
  <c r="R606"/>
  <c r="S606"/>
  <c r="T606"/>
  <c r="U606"/>
  <c r="K607"/>
  <c r="M607"/>
  <c r="O607"/>
  <c r="P607"/>
  <c r="Q607"/>
  <c r="R607"/>
  <c r="S607"/>
  <c r="T607"/>
  <c r="U607"/>
  <c r="K608"/>
  <c r="M608"/>
  <c r="O608"/>
  <c r="P608"/>
  <c r="Q608"/>
  <c r="R608"/>
  <c r="S608"/>
  <c r="T608"/>
  <c r="U608"/>
  <c r="K609"/>
  <c r="M609"/>
  <c r="O609"/>
  <c r="P609"/>
  <c r="Q609"/>
  <c r="R609"/>
  <c r="S609"/>
  <c r="T609"/>
  <c r="U609"/>
  <c r="K610"/>
  <c r="M610"/>
  <c r="O610"/>
  <c r="P610"/>
  <c r="Q610"/>
  <c r="R610"/>
  <c r="S610"/>
  <c r="T610"/>
  <c r="U610"/>
  <c r="K611"/>
  <c r="M611"/>
  <c r="O611"/>
  <c r="P611"/>
  <c r="Q611"/>
  <c r="R611"/>
  <c r="S611"/>
  <c r="T611"/>
  <c r="U611"/>
  <c r="N407"/>
  <c r="O407"/>
  <c r="P407"/>
  <c r="Q407"/>
  <c r="R407"/>
  <c r="S407"/>
  <c r="T407"/>
  <c r="U407"/>
  <c r="V407"/>
  <c r="W407"/>
  <c r="X407"/>
  <c r="X419" s="1"/>
  <c r="Y407"/>
  <c r="Y419" s="1"/>
  <c r="N414"/>
  <c r="O414"/>
  <c r="P414"/>
  <c r="Q414"/>
  <c r="R414"/>
  <c r="S414"/>
  <c r="T414"/>
  <c r="U414"/>
  <c r="V414"/>
  <c r="W414"/>
  <c r="X414"/>
  <c r="Y414"/>
  <c r="N415"/>
  <c r="O415"/>
  <c r="P415"/>
  <c r="Q415"/>
  <c r="R415"/>
  <c r="S415"/>
  <c r="T415"/>
  <c r="U415"/>
  <c r="V415"/>
  <c r="W415"/>
  <c r="X415"/>
  <c r="Y415"/>
  <c r="N416"/>
  <c r="N423" s="1"/>
  <c r="O416"/>
  <c r="P416"/>
  <c r="P423" s="1"/>
  <c r="Q416"/>
  <c r="R416"/>
  <c r="R423" s="1"/>
  <c r="S416"/>
  <c r="T416"/>
  <c r="T423" s="1"/>
  <c r="U416"/>
  <c r="V416"/>
  <c r="V423" s="1"/>
  <c r="W416"/>
  <c r="X416"/>
  <c r="X423" s="1"/>
  <c r="Y416"/>
  <c r="N417"/>
  <c r="N424" s="1"/>
  <c r="O417"/>
  <c r="O424" s="1"/>
  <c r="P417"/>
  <c r="P424" s="1"/>
  <c r="Q417"/>
  <c r="Q424" s="1"/>
  <c r="R417"/>
  <c r="R424" s="1"/>
  <c r="S417"/>
  <c r="S424" s="1"/>
  <c r="T417"/>
  <c r="T424" s="1"/>
  <c r="U417"/>
  <c r="U424" s="1"/>
  <c r="V417"/>
  <c r="V424" s="1"/>
  <c r="W417"/>
  <c r="W424" s="1"/>
  <c r="X417"/>
  <c r="X424" s="1"/>
  <c r="Y417"/>
  <c r="Y424" s="1"/>
  <c r="N418"/>
  <c r="N425" s="1"/>
  <c r="O418"/>
  <c r="O425" s="1"/>
  <c r="P418"/>
  <c r="Q418"/>
  <c r="Q425" s="1"/>
  <c r="R418"/>
  <c r="R425" s="1"/>
  <c r="S418"/>
  <c r="S425" s="1"/>
  <c r="T418"/>
  <c r="U418"/>
  <c r="U425" s="1"/>
  <c r="V418"/>
  <c r="V425" s="1"/>
  <c r="W418"/>
  <c r="W425" s="1"/>
  <c r="Y418"/>
  <c r="Y425" s="1"/>
  <c r="J437"/>
  <c r="K437"/>
  <c r="L437"/>
  <c r="M437"/>
  <c r="N437"/>
  <c r="O437"/>
  <c r="P437"/>
  <c r="Q437"/>
  <c r="R437"/>
  <c r="S437"/>
  <c r="T437"/>
  <c r="U437"/>
  <c r="V437"/>
  <c r="W437"/>
  <c r="X437"/>
  <c r="Y437"/>
  <c r="O640" s="1"/>
  <c r="O651" s="1"/>
  <c r="J447"/>
  <c r="K447"/>
  <c r="L447"/>
  <c r="M447"/>
  <c r="N447"/>
  <c r="O447"/>
  <c r="P447"/>
  <c r="Q447"/>
  <c r="R447"/>
  <c r="S447"/>
  <c r="T447"/>
  <c r="U447"/>
  <c r="V447"/>
  <c r="W447"/>
  <c r="P620" s="1"/>
  <c r="X447"/>
  <c r="Y447"/>
  <c r="Q620" s="1"/>
  <c r="J444"/>
  <c r="K444"/>
  <c r="L444"/>
  <c r="M444"/>
  <c r="N444"/>
  <c r="O444"/>
  <c r="P444"/>
  <c r="Q444"/>
  <c r="R444"/>
  <c r="S444"/>
  <c r="T444"/>
  <c r="U444"/>
  <c r="V444"/>
  <c r="W444"/>
  <c r="P621" s="1"/>
  <c r="X444"/>
  <c r="Y444"/>
  <c r="Q621" s="1"/>
  <c r="J445"/>
  <c r="K445"/>
  <c r="L445"/>
  <c r="M445"/>
  <c r="N445"/>
  <c r="O445"/>
  <c r="P445"/>
  <c r="Q445"/>
  <c r="R445"/>
  <c r="S445"/>
  <c r="T445"/>
  <c r="U445"/>
  <c r="V445"/>
  <c r="W445"/>
  <c r="P622" s="1"/>
  <c r="X445"/>
  <c r="Y445"/>
  <c r="Q622" s="1"/>
  <c r="J442"/>
  <c r="K442"/>
  <c r="L442"/>
  <c r="M442"/>
  <c r="N442"/>
  <c r="O442"/>
  <c r="P442"/>
  <c r="Q442"/>
  <c r="R442"/>
  <c r="S442"/>
  <c r="T442"/>
  <c r="U442"/>
  <c r="V442"/>
  <c r="W442"/>
  <c r="P623" s="1"/>
  <c r="X442"/>
  <c r="Y442"/>
  <c r="Q623" s="1"/>
  <c r="J443"/>
  <c r="K443"/>
  <c r="K448" s="1"/>
  <c r="L443"/>
  <c r="M443"/>
  <c r="N443"/>
  <c r="O443"/>
  <c r="O448" s="1"/>
  <c r="P443"/>
  <c r="Q443"/>
  <c r="R443"/>
  <c r="S443"/>
  <c r="T443"/>
  <c r="U443"/>
  <c r="V443"/>
  <c r="W443"/>
  <c r="X443"/>
  <c r="Y443"/>
  <c r="Q624" s="1"/>
  <c r="J441"/>
  <c r="K441"/>
  <c r="L441"/>
  <c r="M441"/>
  <c r="N441"/>
  <c r="O441"/>
  <c r="P441"/>
  <c r="Q441"/>
  <c r="R441"/>
  <c r="S441"/>
  <c r="T441"/>
  <c r="U441"/>
  <c r="V441"/>
  <c r="W441"/>
  <c r="P625" s="1"/>
  <c r="X441"/>
  <c r="Y441"/>
  <c r="Q625" s="1"/>
  <c r="X446"/>
  <c r="Y446"/>
  <c r="Q626" s="1"/>
  <c r="P626"/>
  <c r="O633"/>
  <c r="O644" s="1"/>
  <c r="O634"/>
  <c r="O645" s="1"/>
  <c r="O635"/>
  <c r="O646" s="1"/>
  <c r="O636"/>
  <c r="O647" s="1"/>
  <c r="O637"/>
  <c r="O648" s="1"/>
  <c r="O638"/>
  <c r="O649" s="1"/>
  <c r="O639"/>
  <c r="O650" s="1"/>
  <c r="J640"/>
  <c r="L640"/>
  <c r="N640"/>
  <c r="N651" s="1"/>
  <c r="J644"/>
  <c r="K644"/>
  <c r="L644"/>
  <c r="M644"/>
  <c r="N644"/>
  <c r="J645"/>
  <c r="K645"/>
  <c r="L645"/>
  <c r="M645"/>
  <c r="N645"/>
  <c r="J646"/>
  <c r="K646"/>
  <c r="L646"/>
  <c r="M646"/>
  <c r="N646"/>
  <c r="J647"/>
  <c r="K647"/>
  <c r="L647"/>
  <c r="M647"/>
  <c r="N647"/>
  <c r="J648"/>
  <c r="K648"/>
  <c r="L648"/>
  <c r="M648"/>
  <c r="N648"/>
  <c r="J649"/>
  <c r="K649"/>
  <c r="L649"/>
  <c r="M649"/>
  <c r="N649"/>
  <c r="N650"/>
  <c r="Q380" l="1"/>
  <c r="Q27"/>
  <c r="R27"/>
  <c r="P78"/>
  <c r="P7" s="1"/>
  <c r="P8" s="1"/>
  <c r="L99"/>
  <c r="N151"/>
  <c r="J151"/>
  <c r="W448"/>
  <c r="P627" s="1"/>
  <c r="S448"/>
  <c r="O53"/>
  <c r="O54" s="1"/>
  <c r="N99"/>
  <c r="L387"/>
  <c r="P151"/>
  <c r="L151"/>
  <c r="Q371"/>
  <c r="P379"/>
  <c r="P539" s="1"/>
  <c r="J387"/>
  <c r="P91"/>
  <c r="P99"/>
  <c r="P387"/>
  <c r="V543"/>
  <c r="V545" s="1"/>
  <c r="M100"/>
  <c r="O98"/>
  <c r="S419"/>
  <c r="N91"/>
  <c r="J90"/>
  <c r="J99"/>
  <c r="M159"/>
  <c r="M387"/>
  <c r="R342"/>
  <c r="N342"/>
  <c r="Q159"/>
  <c r="K151"/>
  <c r="Q151"/>
  <c r="O151"/>
  <c r="M151"/>
  <c r="Q91"/>
  <c r="O91"/>
  <c r="M91"/>
  <c r="Q90"/>
  <c r="O90"/>
  <c r="M90"/>
  <c r="K90"/>
  <c r="Q100"/>
  <c r="K98"/>
  <c r="K53"/>
  <c r="K54" s="1"/>
  <c r="K387"/>
  <c r="P342"/>
  <c r="K574"/>
  <c r="K577" s="1"/>
  <c r="O387"/>
  <c r="O379"/>
  <c r="O539" s="1"/>
  <c r="O159"/>
  <c r="O100"/>
  <c r="K100"/>
  <c r="Q99"/>
  <c r="M99"/>
  <c r="M98"/>
  <c r="O79"/>
  <c r="M79"/>
  <c r="K79"/>
  <c r="U539"/>
  <c r="Y423"/>
  <c r="Y426" s="1"/>
  <c r="Q612"/>
  <c r="Q448"/>
  <c r="P624"/>
  <c r="U448"/>
  <c r="M448"/>
  <c r="Q423"/>
  <c r="Q426" s="1"/>
  <c r="L651"/>
  <c r="T577"/>
  <c r="U423"/>
  <c r="U426" s="1"/>
  <c r="J602"/>
  <c r="J612" s="1"/>
  <c r="P159"/>
  <c r="N159"/>
  <c r="L90"/>
  <c r="P90"/>
  <c r="N90"/>
  <c r="P100"/>
  <c r="N100"/>
  <c r="L100"/>
  <c r="J100"/>
  <c r="N98"/>
  <c r="L98"/>
  <c r="J98"/>
  <c r="R398"/>
  <c r="R493"/>
  <c r="N387"/>
  <c r="T612"/>
  <c r="R612"/>
  <c r="P612"/>
  <c r="Q342"/>
  <c r="U342"/>
  <c r="J651"/>
  <c r="V419"/>
  <c r="T419"/>
  <c r="R419"/>
  <c r="P419"/>
  <c r="N419"/>
  <c r="P577"/>
  <c r="N577"/>
  <c r="T342"/>
  <c r="S342"/>
  <c r="O342"/>
  <c r="P79"/>
  <c r="N79"/>
  <c r="L79"/>
  <c r="J79"/>
  <c r="M651"/>
  <c r="K651"/>
  <c r="V448"/>
  <c r="T448"/>
  <c r="R448"/>
  <c r="P448"/>
  <c r="N448"/>
  <c r="L448"/>
  <c r="J448"/>
  <c r="W419"/>
  <c r="S423"/>
  <c r="S426" s="1"/>
  <c r="O419"/>
  <c r="S612"/>
  <c r="R575"/>
  <c r="R577" s="1"/>
  <c r="V539"/>
  <c r="W539"/>
  <c r="R426"/>
  <c r="P425"/>
  <c r="P426" s="1"/>
  <c r="T425"/>
  <c r="T426" s="1"/>
  <c r="W423"/>
  <c r="W426" s="1"/>
  <c r="O423"/>
  <c r="O426" s="1"/>
  <c r="U419"/>
  <c r="Q419"/>
  <c r="N426"/>
  <c r="U612"/>
  <c r="L576"/>
  <c r="L577" s="1"/>
  <c r="J576"/>
  <c r="J577" s="1"/>
  <c r="Q387"/>
  <c r="R345"/>
  <c r="P345"/>
  <c r="S493"/>
  <c r="V342"/>
  <c r="V577"/>
  <c r="Q577"/>
  <c r="M577"/>
  <c r="V426"/>
  <c r="Y448"/>
  <c r="Q627" s="1"/>
  <c r="X426"/>
  <c r="X448"/>
  <c r="U577"/>
  <c r="O577"/>
</calcChain>
</file>

<file path=xl/comments1.xml><?xml version="1.0" encoding="utf-8"?>
<comments xmlns="http://schemas.openxmlformats.org/spreadsheetml/2006/main">
  <authors>
    <author>momiranda</author>
    <author>Todos Nosotros</author>
  </authors>
  <commentList>
    <comment ref="I33" authorId="0">
      <text>
        <r>
          <rPr>
            <b/>
            <sz val="9"/>
            <color indexed="81"/>
            <rFont val="Tahoma"/>
            <family val="2"/>
          </rPr>
          <t>momiranda:</t>
        </r>
        <r>
          <rPr>
            <sz val="9"/>
            <color indexed="81"/>
            <rFont val="Tahoma"/>
            <family val="2"/>
          </rPr>
          <t xml:space="preserve">
Quitar a los que tienen plaza de técnico pero no están en actividades Científicas y/o Tecnológicas
</t>
        </r>
      </text>
    </comment>
    <comment ref="I98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1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8" authorId="1">
      <text>
        <r>
          <rPr>
            <b/>
            <sz val="8"/>
            <color indexed="81"/>
            <rFont val="Tahoma"/>
            <family val="2"/>
          </rPr>
          <t>Incluye Fies y Sivilla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Todos Nosotros</author>
  </authors>
  <commentList>
    <comment ref="L26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L52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G73" authorId="0">
      <text>
        <r>
          <rPr>
            <b/>
            <sz val="12"/>
            <color indexed="81"/>
            <rFont val="Tahoma"/>
            <family val="2"/>
          </rPr>
          <t>Se incluiran nuevas publicaciones pasadas posterior al cierre enero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<sst xmlns="http://schemas.openxmlformats.org/spreadsheetml/2006/main" count="1273" uniqueCount="608">
  <si>
    <t>1996</t>
  </si>
  <si>
    <t>1997</t>
  </si>
  <si>
    <t>1998</t>
  </si>
  <si>
    <t>1995</t>
  </si>
  <si>
    <t>Otros</t>
  </si>
  <si>
    <t>Maestría</t>
  </si>
  <si>
    <t>Doctorado</t>
  </si>
  <si>
    <t>Personal Científico y Tecnológico por categoría y nivel</t>
  </si>
  <si>
    <t>Investigador Asociado</t>
  </si>
  <si>
    <t>Asistente de Investigación</t>
  </si>
  <si>
    <t>Técnico Académico Titular</t>
  </si>
  <si>
    <t>Técnico Académico Asociado</t>
  </si>
  <si>
    <t>Personal Científico y Tecnológico por grado académico</t>
  </si>
  <si>
    <t>Licenciatura</t>
  </si>
  <si>
    <t>Conacyt</t>
  </si>
  <si>
    <t>Sivilla</t>
  </si>
  <si>
    <t>FIES</t>
  </si>
  <si>
    <t>Alumnos de Licenciatura atendidos en el CIMAV</t>
  </si>
  <si>
    <t>Total de alumnos matriculados</t>
  </si>
  <si>
    <t>Fiscales</t>
  </si>
  <si>
    <t>Propios</t>
  </si>
  <si>
    <t>Total</t>
  </si>
  <si>
    <t>1999</t>
  </si>
  <si>
    <t>Sector Productivo</t>
  </si>
  <si>
    <t>Sector Público</t>
  </si>
  <si>
    <t>2000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</si>
  <si>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</si>
  <si>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</si>
  <si>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</si>
  <si>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</si>
  <si>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</si>
  <si>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</si>
  <si>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TOTAL</t>
  </si>
  <si>
    <t>Investigadores en el SNI</t>
  </si>
  <si>
    <t>Maestría en Ciencia y Tecnología Ambiental</t>
  </si>
  <si>
    <t>Doctorado en Ciencia y Tecnología Ambiental</t>
  </si>
  <si>
    <t>Maestría en Ciencia de Materiales</t>
  </si>
  <si>
    <t>Doctorado en Ciencia de Materiales</t>
  </si>
  <si>
    <t>Mediana y Gran Empresa Nacional</t>
  </si>
  <si>
    <t>Industria Maquiladora de Exportación</t>
  </si>
  <si>
    <t>Micro y Pequeña Empresa</t>
  </si>
  <si>
    <t>Sector Público e Institucional</t>
  </si>
  <si>
    <t>Personal Académico</t>
  </si>
  <si>
    <t>Investigadores</t>
  </si>
  <si>
    <t>2001</t>
  </si>
  <si>
    <t>T o t a l</t>
  </si>
  <si>
    <t>Candidato</t>
  </si>
  <si>
    <t>*Incluye al Director General</t>
  </si>
  <si>
    <t>Totales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</si>
  <si>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</si>
  <si>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</si>
  <si>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</si>
  <si>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</si>
  <si>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</si>
  <si>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</si>
  <si>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2002</t>
  </si>
  <si>
    <t>Nivel I</t>
  </si>
  <si>
    <t>Nivel II</t>
  </si>
  <si>
    <t>Nivel III</t>
  </si>
  <si>
    <t xml:space="preserve">Graduados de Maestría </t>
  </si>
  <si>
    <t>Graduados de Doctorado</t>
  </si>
  <si>
    <t>CONACYT</t>
  </si>
  <si>
    <t>Vinculación</t>
  </si>
  <si>
    <t>Total de Investigadores</t>
  </si>
  <si>
    <t>Estudiantes matriculados en posgrado por programa</t>
  </si>
  <si>
    <t>Convenios vigentes por sector</t>
  </si>
  <si>
    <t>Distribución de clientes por sector</t>
  </si>
  <si>
    <t>No. de Servicios</t>
  </si>
  <si>
    <t>PRESUPUESTO EJERCIDO FISCALES POR CAP. DE GASTO NOMINALES</t>
  </si>
  <si>
    <t>PRESUPUESTO EJERCIDO FISCALES POR CAP. DE GASTO NOMINALES EN MILES</t>
  </si>
  <si>
    <t>2003</t>
  </si>
  <si>
    <t>Sector Académico</t>
  </si>
  <si>
    <t>2004</t>
  </si>
  <si>
    <t>Investigador (Inc. Director Gral.)</t>
  </si>
  <si>
    <t>Técnico</t>
  </si>
  <si>
    <t>Investigadores en el SNI por niveles</t>
  </si>
  <si>
    <t>Índice Total</t>
  </si>
  <si>
    <t>Índice Revistas</t>
  </si>
  <si>
    <t>Índice: alumnos por investigador</t>
  </si>
  <si>
    <t>AVANCE</t>
  </si>
  <si>
    <t>PRODUCTIVIDAD ECONOMICA POR PERSONAL ACADÉMICO/CLIENTE</t>
  </si>
  <si>
    <t xml:space="preserve">Investigador Titular </t>
  </si>
  <si>
    <t>2005</t>
  </si>
  <si>
    <t>2006</t>
  </si>
  <si>
    <t>Indicador/Fórmula</t>
  </si>
  <si>
    <t>Publicaciones c/arbitraje</t>
  </si>
  <si>
    <t>n.a</t>
  </si>
  <si>
    <t>Tiempo de Graduación Maestría</t>
  </si>
  <si>
    <t>Tiempo de Graduación Doctorado</t>
  </si>
  <si>
    <t>Eficiencia Terminal Maestría</t>
  </si>
  <si>
    <t>Eficiencia Terminal Doctorado</t>
  </si>
  <si>
    <t>Programas de posgrado en PIFOP o PNP</t>
  </si>
  <si>
    <t>Ingresos Propios/Total de Ingresos</t>
  </si>
  <si>
    <t>Ingresos Extraordinarios/Total de Ingresos</t>
  </si>
  <si>
    <t>8,535 / 92,836 x 100 = 9.2</t>
  </si>
  <si>
    <t>12,626 / 92,836 x 100 = 13.6</t>
  </si>
  <si>
    <t>FORMATO VII.8</t>
  </si>
  <si>
    <t>ENTIDAD:    CENTRO DE INVESTIGACIÓN EN MATERIALES AVANZADOS, S.C. (CIMAV)</t>
  </si>
  <si>
    <t>Objetivo</t>
  </si>
  <si>
    <t>Unidad de Medida</t>
  </si>
  <si>
    <t>Programado*</t>
  </si>
  <si>
    <t>Alcanzado</t>
  </si>
  <si>
    <t>Programado</t>
  </si>
  <si>
    <t xml:space="preserve">Generar conocimiento mediante la realización de investigación básica orientada, aplicada y desarrollo tecnológico con criterios de excelencia y pertinencia, en los ámbitos de la Ciencia de los Materiales y de la Ciencia y Tecnología Ambiental, para su aprovechamiento por el sector productivo,  académico y social </t>
  </si>
  <si>
    <t>1.  Artículos con arbitraje publicados en revistas de circulación internacional / No. de investigadores</t>
  </si>
  <si>
    <t>57/38 = 1.5</t>
  </si>
  <si>
    <t>78/38=2.1</t>
  </si>
  <si>
    <t>65 / 40 = 1.6</t>
  </si>
  <si>
    <t>79/37 = 2.1</t>
  </si>
  <si>
    <t>45/42 = 1.1</t>
  </si>
  <si>
    <t>49/36 = 1.4</t>
  </si>
  <si>
    <t xml:space="preserve">2.    Artículos Publicados en Memorias de Congreso Internacional con arbitraje/No. de Investigadores    </t>
  </si>
  <si>
    <t>43/42 = 1.0</t>
  </si>
  <si>
    <t>52/36 = 1.4</t>
  </si>
  <si>
    <t>3.  (No. de investigadores en el SNI/Total de investigadores) x 100</t>
  </si>
  <si>
    <t>Porcentaje</t>
  </si>
  <si>
    <t>24/38x100 = 63.2</t>
  </si>
  <si>
    <t>21/38x100 = 55.3</t>
  </si>
  <si>
    <t>24/40 x 100 = 60.0</t>
  </si>
  <si>
    <t>25/37 x 100 = 67.6</t>
  </si>
  <si>
    <t>27/42 x 100 = 64.3</t>
  </si>
  <si>
    <t>29/36 x 100 = 80.6</t>
  </si>
  <si>
    <t>Formar recursos humanos con la preparación y habilidades requeridas en los campos de la Ciencia de los Materiales y de la Ciencia y Tecnología Ambiental, a través de programas de posgrado de excelencia,  para su inserción en los sectores productivo y académico regional y nacional.</t>
  </si>
  <si>
    <t>4.  Sumatoria del número de años para la titulación de los graduados en el año en programas de maestría / Número de graduados de maestría en el año</t>
  </si>
  <si>
    <t>Años</t>
  </si>
  <si>
    <t>31.2/12=2.6</t>
  </si>
  <si>
    <t>18.92/7=2.7</t>
  </si>
  <si>
    <t>33.8/13 = 2.6</t>
  </si>
  <si>
    <t>30.2/12 = 2.5</t>
  </si>
  <si>
    <t>44.2/17 = 2.6</t>
  </si>
  <si>
    <t>44.7/15 = 3.0</t>
  </si>
  <si>
    <t>5.  Sumatoria del número de años para la titulación de los graduados en el año en programas de doctorado / Número de graduados de doctorado en el año</t>
  </si>
  <si>
    <t>19.32/4=4.8</t>
  </si>
  <si>
    <t>17.92/5=3.6</t>
  </si>
  <si>
    <t>37.6/8 = 4.7</t>
  </si>
  <si>
    <t>46.5/11 = 4.2</t>
  </si>
  <si>
    <t>85.5/19 = 4.5</t>
  </si>
  <si>
    <t>73.1/15 = 4.9</t>
  </si>
  <si>
    <t>6. (Grados de maestría conferidos a estudiantes graduados en 3 años o menos de la generación n-3 / número de estudiantes que ingresaron a la maestría en la generación n-3)x100</t>
  </si>
  <si>
    <t>14/25 x 100 = 56.0</t>
  </si>
  <si>
    <t>13/18 x 100 = 72.2</t>
  </si>
  <si>
    <t>10/18 x 100 = 55.6</t>
  </si>
  <si>
    <t>7. (Grados de doctorado conferidos a estudiantes graduados en 5 años o menos de la generación n-5 / número de estudiantes que ingresaron al doctorado en la generación n-5)x100</t>
  </si>
  <si>
    <t>4/7 x 100 = 57.1</t>
  </si>
  <si>
    <t>9/16 x 100 = 56.3</t>
  </si>
  <si>
    <t>8.  (No. de investigadores en formación de recursos humanos/Total de investigadores) x 100</t>
  </si>
  <si>
    <t>33/38x100=86.8</t>
  </si>
  <si>
    <t>35/40 x 100 = 87.5</t>
  </si>
  <si>
    <t>37/37 x 100 = 100</t>
  </si>
  <si>
    <t>39/42 x 100 = 92.9</t>
  </si>
  <si>
    <t>34/36 x 100 = 94.4</t>
  </si>
  <si>
    <t>9.  (Programas de posgrado en el PIFOP o PNP/Total de programas de posgrado del CIMAV ) x 100</t>
  </si>
  <si>
    <t>4/4x100=100</t>
  </si>
  <si>
    <t>4/4 x 100 = 100.0</t>
  </si>
  <si>
    <t>Transferir el conocimiento generado en los ámbitos de competencia del Centro a los sectores productivo, académico y social.</t>
  </si>
  <si>
    <t>10.  (Ingresos Propios*/Total de Ingresos) x 100</t>
  </si>
  <si>
    <t>5,500/76,597x100=7.2</t>
  </si>
  <si>
    <t>5,768/74,941x100=7.7</t>
  </si>
  <si>
    <t>4,000/   68,828 x 100 = 5.8</t>
  </si>
  <si>
    <t>4,386/72,056 x 100 = 6.1</t>
  </si>
  <si>
    <t>6,000/   84,713 x 100 = 7.1</t>
  </si>
  <si>
    <t>5,995/ 93,706 x 100 = 6.4</t>
  </si>
  <si>
    <t>11.  (Ingresos Extraordinarios**/Total de Ingresos) x 100</t>
  </si>
  <si>
    <t>8,400/76,597x100=11</t>
  </si>
  <si>
    <t>4,970/74,941x100=6.6</t>
  </si>
  <si>
    <t>2,500/   68,828 x 100 = 3.6</t>
  </si>
  <si>
    <t>3,854/72,056 x 100 = 5.1</t>
  </si>
  <si>
    <t>5,000/   84,713 x 100 = 5.9</t>
  </si>
  <si>
    <t>5,397/ 93,706 x 100 = 6.0</t>
  </si>
  <si>
    <t>*Notas:  En 2001 y 2002 el indicador/meta relativo a publicaciones manejaba conjuntamente publicaciones en revistas y en extenso en memorias de congreso internacional</t>
  </si>
  <si>
    <t xml:space="preserve">             En 2001 los indicadores/metas 6 y 7 estaban excluídos del paquete de indicadores estratégicos</t>
  </si>
  <si>
    <t xml:space="preserve">             La incorporación de indicadores/metas anteriores obedeció a una recomendación que al respecto emitiera el Consejo de Administración</t>
  </si>
  <si>
    <t>2001 Programado</t>
  </si>
  <si>
    <t>2001 Alcanzado</t>
  </si>
  <si>
    <t>2002 Programado</t>
  </si>
  <si>
    <t>2002 Alcanzado</t>
  </si>
  <si>
    <t>2003 Programado</t>
  </si>
  <si>
    <t>2003 Alcanzado</t>
  </si>
  <si>
    <t>2004 Programado</t>
  </si>
  <si>
    <t>2004 Alcanzado</t>
  </si>
  <si>
    <t>Artículos con arbitraje publicados en revistas de circulación internacional por investigador</t>
  </si>
  <si>
    <t>Artículos Publicados en Memorias de Congreso Internacional con arbitraje por investigador</t>
  </si>
  <si>
    <t>Artículos Publicados en Memorias de Congreso Internacional con arbitraje por investigador. Programado</t>
  </si>
  <si>
    <t>Artículos Publicados en Memorias de Congreso Internacional con arbitraje por investigador. Alcanzado</t>
  </si>
  <si>
    <t>Investigadores en el S N I. Programado</t>
  </si>
  <si>
    <t>Investigadores en el S N I. Alcanzado</t>
  </si>
  <si>
    <t>Tiempo de Graduación Maestría. Programado</t>
  </si>
  <si>
    <t>Tiempo de Graduación Maestría. Alcanzado</t>
  </si>
  <si>
    <t>Tiempo de Graduación Doctorado. Programado</t>
  </si>
  <si>
    <t>Tiempo de Graduación Doctorado. Alcanzado</t>
  </si>
  <si>
    <t>Eficiencia Terminal Maestría. Programado</t>
  </si>
  <si>
    <t>Eficiencia Terminal Maestría. Alcanzado</t>
  </si>
  <si>
    <t>Eficiencia Terminal Doctorado. Programado</t>
  </si>
  <si>
    <t>Eficiencia Terminal Doctorado. Alcanzado</t>
  </si>
  <si>
    <t>Ingresos Extraordinarios/Total de Ingresos. Programado</t>
  </si>
  <si>
    <t>Ingresos Extraordinarios/Total de Ingresos. Alcanzado</t>
  </si>
  <si>
    <t>8,500/91,924 x 100 = 9.2</t>
  </si>
  <si>
    <t>5,500/91,924 x 100 = 6.0</t>
  </si>
  <si>
    <t xml:space="preserve"> </t>
  </si>
  <si>
    <t>Fondos Sect/Mixtos</t>
  </si>
  <si>
    <t>(No. de investigadores en formación de recursos humanos/Total de investigadores) x 100</t>
  </si>
  <si>
    <t>2005 Programado</t>
  </si>
  <si>
    <t>2005 Alcanzado</t>
  </si>
  <si>
    <t>Servicio social</t>
  </si>
  <si>
    <t>Prácticas profesionales</t>
  </si>
  <si>
    <t>Artículos con arbitraje publicados en revistas de circulación internacional indexadas por investigador</t>
  </si>
  <si>
    <t>Artículos con arbitraje publicados en revistas de circulación internacional indexadas por investigador. Programado</t>
  </si>
  <si>
    <t>Artículos con arbitraje publicados en revistas de circulación internacional indexadas por investigador. Alcanzado</t>
  </si>
  <si>
    <t>Venta de Servicios       11,616  12,444 </t>
  </si>
  <si>
    <t>        Productos Financieros   226            </t>
  </si>
  <si>
    <t>       Diversos posgrados, rec. Seguros 602            </t>
  </si>
  <si>
    <t>       Provenientes de Conacyt  31,627         </t>
  </si>
  <si>
    <t>       Subsidios del Gobierno Federal   88,311  100,755</t>
  </si>
  <si>
    <t>       Otros Ingresos  (1) Fideicomiso  4,026   12.4   </t>
  </si>
  <si>
    <t> SUMAN LOS INGRESOS     136,408        </t>
  </si>
  <si>
    <t>Entonces el resultado del indicador es:</t>
  </si>
  <si>
    <t>12,444/100,755 = 12.4</t>
  </si>
  <si>
    <t>Investigadores en formación de recursos humanos/ Total de Investigadores</t>
  </si>
  <si>
    <t>Apoyo a las Actividades Sustantivas</t>
  </si>
  <si>
    <t>Administrativo</t>
  </si>
  <si>
    <t xml:space="preserve">Total  </t>
  </si>
  <si>
    <t>2006 Programado</t>
  </si>
  <si>
    <t>2006 Alcanzado</t>
  </si>
  <si>
    <t>N° de Proyectos</t>
  </si>
  <si>
    <t>Diciembre 2006</t>
  </si>
  <si>
    <t>Consorcios</t>
  </si>
  <si>
    <t>PIADET</t>
  </si>
  <si>
    <t>Fondos ( Mixtos, Sectoriales e Institucionales)</t>
  </si>
  <si>
    <t>Ingresos por Servicios (miles $)</t>
  </si>
  <si>
    <t>Precio promedio por servicio (miles $ )</t>
  </si>
  <si>
    <t>Ingresos por Servicios por Personal Académico (miles $ )</t>
  </si>
  <si>
    <t>Indicador</t>
  </si>
  <si>
    <r>
      <t>Progr</t>
    </r>
    <r>
      <rPr>
        <u/>
        <sz val="11"/>
        <rFont val="Arial"/>
        <family val="2"/>
      </rPr>
      <t>a</t>
    </r>
  </si>
  <si>
    <t>mado</t>
  </si>
  <si>
    <r>
      <t>Alcanz</t>
    </r>
    <r>
      <rPr>
        <u/>
        <sz val="11"/>
        <rFont val="Arial"/>
        <family val="2"/>
      </rPr>
      <t>a</t>
    </r>
  </si>
  <si>
    <t>do</t>
  </si>
  <si>
    <t>1.  Artículos con arbitraje publicados en revistas de circulación internacional indexadas/ No. de investigadores</t>
  </si>
  <si>
    <t xml:space="preserve">33/38 =   </t>
  </si>
  <si>
    <t xml:space="preserve">37/38  =   </t>
  </si>
  <si>
    <t xml:space="preserve">40/40 = </t>
  </si>
  <si>
    <t xml:space="preserve">42/37 = </t>
  </si>
  <si>
    <t xml:space="preserve">45/42 =    </t>
  </si>
  <si>
    <t xml:space="preserve">49/36 = </t>
  </si>
  <si>
    <t xml:space="preserve">57/35 = </t>
  </si>
  <si>
    <t>63/37 =</t>
  </si>
  <si>
    <t>67/36= 1.9</t>
  </si>
  <si>
    <r>
      <t xml:space="preserve">2.    Artículos Publicados </t>
    </r>
    <r>
      <rPr>
        <i/>
        <sz val="11"/>
        <rFont val="Arial"/>
        <family val="2"/>
      </rPr>
      <t xml:space="preserve">in extenso </t>
    </r>
    <r>
      <rPr>
        <sz val="11"/>
        <rFont val="Arial"/>
        <family val="2"/>
      </rPr>
      <t xml:space="preserve">en Memorias de Congreso Internacional con arbitraje/No. de Investigadores </t>
    </r>
  </si>
  <si>
    <t xml:space="preserve">24/38 = </t>
  </si>
  <si>
    <t xml:space="preserve">41/38 = </t>
  </si>
  <si>
    <t xml:space="preserve">37/37 = </t>
  </si>
  <si>
    <t xml:space="preserve">43/42 =        </t>
  </si>
  <si>
    <t xml:space="preserve">52/36 = </t>
  </si>
  <si>
    <t xml:space="preserve">36/37 = </t>
  </si>
  <si>
    <t xml:space="preserve">70/35 = </t>
  </si>
  <si>
    <t>40/37 =</t>
  </si>
  <si>
    <t>52/36=</t>
  </si>
  <si>
    <t xml:space="preserve">24/38 x 100 =  </t>
  </si>
  <si>
    <t xml:space="preserve">21/38 x 100 = </t>
  </si>
  <si>
    <t xml:space="preserve">24/40 x 100 = </t>
  </si>
  <si>
    <t xml:space="preserve">25/37 x 100 = </t>
  </si>
  <si>
    <t xml:space="preserve">27/42 x 100 = </t>
  </si>
  <si>
    <t xml:space="preserve">29/36 x 100 = </t>
  </si>
  <si>
    <t xml:space="preserve">30/37 x 100 = </t>
  </si>
  <si>
    <t xml:space="preserve">34/35 x 100 = </t>
  </si>
  <si>
    <t>36/37 x 100 = 97.3</t>
  </si>
  <si>
    <t>36/36 x 100 = 100.0</t>
  </si>
  <si>
    <t>31.2/12= 2.6</t>
  </si>
  <si>
    <t>18.92/7= 2.7</t>
  </si>
  <si>
    <t>33.8/13=  2.6</t>
  </si>
  <si>
    <t>30.2/12= 2.5</t>
  </si>
  <si>
    <t>44.2/17=  2.6</t>
  </si>
  <si>
    <t>44.7/15=  3.0</t>
  </si>
  <si>
    <t>42/15   = 2.8</t>
  </si>
  <si>
    <t>43.6/15= 2.9</t>
  </si>
  <si>
    <t>52.6/18 = 2.9</t>
  </si>
  <si>
    <t>85.8/28 =3.1</t>
  </si>
  <si>
    <t>19.32/4</t>
  </si>
  <si>
    <t xml:space="preserve">  = 4.8</t>
  </si>
  <si>
    <t>17.92/5</t>
  </si>
  <si>
    <t xml:space="preserve">  = 3.6</t>
  </si>
  <si>
    <t>46.5/11</t>
  </si>
  <si>
    <t xml:space="preserve"> = 4.2</t>
  </si>
  <si>
    <t>85.5/19</t>
  </si>
  <si>
    <t xml:space="preserve"> = 4.5</t>
  </si>
  <si>
    <t>73.1/15</t>
  </si>
  <si>
    <t xml:space="preserve"> = 4.9</t>
  </si>
  <si>
    <t xml:space="preserve"> 40.5/9</t>
  </si>
  <si>
    <t xml:space="preserve">53.6/12 </t>
  </si>
  <si>
    <t>67.2/15 = 4.5</t>
  </si>
  <si>
    <t>55.7/13 = 4.3</t>
  </si>
  <si>
    <t>n.a.</t>
  </si>
  <si>
    <t xml:space="preserve">14/25 x 100 = </t>
  </si>
  <si>
    <t xml:space="preserve">44/70 x 100 = </t>
  </si>
  <si>
    <t xml:space="preserve">43/70 x 100 = </t>
  </si>
  <si>
    <t xml:space="preserve">13/18 x 100 = </t>
  </si>
  <si>
    <t xml:space="preserve">10/18 x 100 = </t>
  </si>
  <si>
    <t xml:space="preserve">12/19 x 100 = </t>
  </si>
  <si>
    <t xml:space="preserve">9/19 x 100 = </t>
  </si>
  <si>
    <t>18/23 x 100   =</t>
  </si>
  <si>
    <t xml:space="preserve">15/23 x 100 = </t>
  </si>
  <si>
    <t xml:space="preserve">4/7 x 100 = </t>
  </si>
  <si>
    <t xml:space="preserve">17/35 x 100 = </t>
  </si>
  <si>
    <t xml:space="preserve">20/35 x 100 = </t>
  </si>
  <si>
    <t xml:space="preserve">9/16 x 100 = </t>
  </si>
  <si>
    <t xml:space="preserve">7/12 x 100 = </t>
  </si>
  <si>
    <t>16/21 x 100   =</t>
  </si>
  <si>
    <t xml:space="preserve">14/21 x 100 = </t>
  </si>
  <si>
    <t>33/38 x 100 =</t>
  </si>
  <si>
    <t>35/40 x 100 =</t>
  </si>
  <si>
    <t>37/37 x 100 = 100.0</t>
  </si>
  <si>
    <t>39/42 x 100 =</t>
  </si>
  <si>
    <t>34/36 x 100 =</t>
  </si>
  <si>
    <t>34/37 x 100 =</t>
  </si>
  <si>
    <t>34/35 x 100 =</t>
  </si>
  <si>
    <t>35/37 x 100 = 94.6</t>
  </si>
  <si>
    <t>35/36 x 100 = 97.2</t>
  </si>
  <si>
    <t>4/4x</t>
  </si>
  <si>
    <t>100=</t>
  </si>
  <si>
    <t>4/4 x 100 =   100.0</t>
  </si>
  <si>
    <r>
      <t>10.  (Ingresos Propios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/Total de Ingresos) x 100</t>
    </r>
  </si>
  <si>
    <t>5,500/ 76,597x 100 =   7.2</t>
  </si>
  <si>
    <t>5,768/ 74,941x 100  =  7.7</t>
  </si>
  <si>
    <t>4,000/   68,828 x 100  =   5.8</t>
  </si>
  <si>
    <t>4,386/ 72,056 x 100 =   6.1</t>
  </si>
  <si>
    <t>6,000/   84,713 x 100 =   7.1</t>
  </si>
  <si>
    <t>5,995/ 93,706 x 100 =   6.4</t>
  </si>
  <si>
    <t>8,500/ 91,924 x 100 =   9.2</t>
  </si>
  <si>
    <t>8,535 / 92,836 x 100 =   9.2</t>
  </si>
  <si>
    <t>11,600/94,454 x 100= 12.3</t>
  </si>
  <si>
    <t>12,444/ 100,755 x 100 = 12.4</t>
  </si>
  <si>
    <r>
      <t xml:space="preserve">11.  (Ingresos Extraordinarios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/ Total de Ingresos) x 100</t>
    </r>
  </si>
  <si>
    <t>8,400/76,597x 100=           11</t>
  </si>
  <si>
    <t>4,970/74,941x 100=  6.6</t>
  </si>
  <si>
    <t>-o-</t>
  </si>
  <si>
    <t xml:space="preserve">Graduados por Investigador </t>
  </si>
  <si>
    <t>PRESUPUESTO EJERCIDO FISCALES POR CAP. DE GASTO NOMINALES EN MILLONES</t>
  </si>
  <si>
    <t>44/70 x 100 = 62.9</t>
  </si>
  <si>
    <t>43/70 x 100 = 61.4</t>
  </si>
  <si>
    <t>17/35 x 100 = 48.6</t>
  </si>
  <si>
    <t>20/35 x 100= 57.1</t>
  </si>
  <si>
    <t>Incremento</t>
  </si>
  <si>
    <t>Tecnicos por investigador</t>
  </si>
  <si>
    <t>Clientes que repiten servicios</t>
  </si>
  <si>
    <t xml:space="preserve">Porcentaje </t>
  </si>
  <si>
    <t>Proyectos Vigentes de Vinculación/Investigador</t>
  </si>
  <si>
    <t>Se incluye al Director General</t>
  </si>
  <si>
    <t>2007</t>
  </si>
  <si>
    <t>Diciembre 2007</t>
  </si>
  <si>
    <t>Maestría en Educación Científica</t>
  </si>
  <si>
    <t>SERVICIOS AL SECTOR PRODUCTIVO Y SOCIAL Nominales</t>
  </si>
  <si>
    <t>Índice de Proyectos por Investigador</t>
  </si>
  <si>
    <t>Índice de Proyectos de Vinculación  por Investigador</t>
  </si>
  <si>
    <t>Tiempo Promedio Graduación Doctorado</t>
  </si>
  <si>
    <t>Tiempo Promedio Graduación Maestría</t>
  </si>
  <si>
    <t>Ingresos por Proyectos y Servicios (miles $)</t>
  </si>
  <si>
    <t>Personal Científico-Tecnológico</t>
  </si>
  <si>
    <t>Ingresos por Persona (miles $)</t>
  </si>
  <si>
    <t>2007 Programado</t>
  </si>
  <si>
    <t>2007 Alcanzado</t>
  </si>
  <si>
    <t>(Recursos Autogenerados+Ingresos Diversos)    /    (Ingresos Fiscales +Recursos Autogenerados +Ingresos Diversos) x  100. Programado</t>
  </si>
  <si>
    <t>(Recursos Autogenerados+Ingresos Diversos)   /   (Ingresos Fiscales +Recursos Autogenerados +Ingresos Diversos) x  100. Alcanzado</t>
  </si>
  <si>
    <t>Otros ( Colaboración: Redes, Universidades, Tecnológicos e Instituciones Nacionales e Internacionales)</t>
  </si>
  <si>
    <t>Negociación Directa con Empresa</t>
  </si>
  <si>
    <t>Solicitudes de Registro de Patente</t>
  </si>
  <si>
    <t>Ingresos por Investigador (miles $)</t>
  </si>
  <si>
    <t>Citas Promedio por Investigador</t>
  </si>
  <si>
    <t>Fondo Institucional</t>
  </si>
  <si>
    <t>Cap. 1000</t>
  </si>
  <si>
    <t>Cap. 2000</t>
  </si>
  <si>
    <t>Cap. 3000</t>
  </si>
  <si>
    <t>Cap. 4000</t>
  </si>
  <si>
    <t>Cap. 5000</t>
  </si>
  <si>
    <t>Cap. 6000</t>
  </si>
  <si>
    <t>(Miles de Pesos)</t>
  </si>
  <si>
    <t>Programado 2005</t>
  </si>
  <si>
    <t xml:space="preserve"> Captado 2005</t>
  </si>
  <si>
    <t>Programado 2006</t>
  </si>
  <si>
    <t xml:space="preserve"> Captado 2006</t>
  </si>
  <si>
    <t>Programado 2007</t>
  </si>
  <si>
    <t xml:space="preserve"> Captado 2007</t>
  </si>
  <si>
    <t xml:space="preserve">       Venta de Servicios</t>
  </si>
  <si>
    <t xml:space="preserve">       Productos Financieros</t>
  </si>
  <si>
    <t xml:space="preserve">       Diversos</t>
  </si>
  <si>
    <t xml:space="preserve">       Fuentes Externas</t>
  </si>
  <si>
    <t xml:space="preserve">       Subsidios del Gobierno Federal</t>
  </si>
  <si>
    <t xml:space="preserve">       Otros Ingresos  (1)</t>
  </si>
  <si>
    <t>Millones de Pesos</t>
  </si>
  <si>
    <t>Concepto</t>
  </si>
  <si>
    <t>Programado  2005</t>
  </si>
  <si>
    <t>Ejercido 2005</t>
  </si>
  <si>
    <t>Programado  2006</t>
  </si>
  <si>
    <t>Ejercido 2006</t>
  </si>
  <si>
    <t>Programado  2007</t>
  </si>
  <si>
    <t>Ejercido 2007</t>
  </si>
  <si>
    <t>INGRESO FISCALES Y PROPIOS PROGRAMADO Y CAPTADO  (NOMINAL)</t>
  </si>
  <si>
    <t>INGRESOS TOTALES (NOMINALES)</t>
  </si>
  <si>
    <t>Programado  2003</t>
  </si>
  <si>
    <t>Ejercido 2003</t>
  </si>
  <si>
    <t>Programado  2004</t>
  </si>
  <si>
    <t>Ejercido 2004</t>
  </si>
  <si>
    <t>Artículos con  Arbitraje publicados por Investigador</t>
  </si>
  <si>
    <t>2008</t>
  </si>
  <si>
    <t>Personal Científico</t>
  </si>
  <si>
    <t>Programado 2008</t>
  </si>
  <si>
    <t xml:space="preserve"> Captado 2008</t>
  </si>
  <si>
    <t>Programado  2008</t>
  </si>
  <si>
    <t>Ejercido 2008</t>
  </si>
  <si>
    <t>Diciembre 2008</t>
  </si>
  <si>
    <t>PRESUPUESTO FISCAL Y PROPIOS PROGRAMADO Y EJERCIDO NOMINAL (Miles)</t>
  </si>
  <si>
    <t>PRESUPUESTO FISCAL Y PROPIOS PROGRAMADO Y EJERCIDO NOMINAL (Millones)</t>
  </si>
  <si>
    <t>PRESUPUESTO FISCAL Y PROPIOS MODIFICADO Y EJERCIDO NOMINAL (Miles)</t>
  </si>
  <si>
    <t>Incremento de Servicios por año</t>
  </si>
  <si>
    <t>2009</t>
  </si>
  <si>
    <t>Programado 2009</t>
  </si>
  <si>
    <t xml:space="preserve"> Captado 2009</t>
  </si>
  <si>
    <t>Programado  2009</t>
  </si>
  <si>
    <t>Ejercido 2009</t>
  </si>
  <si>
    <t>Ingresos Unidad Monterrey</t>
  </si>
  <si>
    <t>Servicios y proyectos</t>
  </si>
  <si>
    <t>Fondo de Cooperación Internacional (FONCICYT)</t>
  </si>
  <si>
    <t>Capítulos de Libros</t>
  </si>
  <si>
    <t>Libros</t>
  </si>
  <si>
    <t>Nacionales</t>
  </si>
  <si>
    <t>Internacionales</t>
  </si>
  <si>
    <t>Originial  2009</t>
  </si>
  <si>
    <t>Original  2009</t>
  </si>
  <si>
    <t>Recursos Autogenerados (Venta de Proyectos y Servicios, Posgrado)+ Ingresos Diversos</t>
  </si>
  <si>
    <t>2010</t>
  </si>
  <si>
    <t>Programado 2010</t>
  </si>
  <si>
    <t xml:space="preserve"> Captado 2010</t>
  </si>
  <si>
    <t>Originial  2010</t>
  </si>
  <si>
    <t>Ejercido 2010</t>
  </si>
  <si>
    <t>Original  2010</t>
  </si>
  <si>
    <t>Cap. 7000</t>
  </si>
  <si>
    <t>Becas y Apoyos a Estudiantes</t>
  </si>
  <si>
    <t>Fondos Mixtos</t>
  </si>
  <si>
    <t>Fondos Institucionales</t>
  </si>
  <si>
    <t xml:space="preserve">Fondos Sectoriales </t>
  </si>
  <si>
    <t>Recursos Autogenerados (Venta de Proyectos y Servicios, Posgrado e Ingresos Diversos)</t>
  </si>
  <si>
    <t>Ingresos Propios(miles $)</t>
  </si>
  <si>
    <t>Vinculación ( Industria y Fondos de Innovación)</t>
  </si>
  <si>
    <t>Personal Científico y Tecnológico por categoría y nivel  Unidad Monterrey</t>
  </si>
  <si>
    <t>Personal Total por Función Monterrey</t>
  </si>
  <si>
    <t>Libros Unidad Monterrey</t>
  </si>
  <si>
    <t>Capítulos de Libros Unidad Monterrey</t>
  </si>
  <si>
    <t>Solicitudes de Registro de Patente Unidad Monterrey</t>
  </si>
  <si>
    <t>Proyectos de Investigación Vigentes Unidad Monterrey</t>
  </si>
  <si>
    <t>Unidad Monterrey</t>
  </si>
  <si>
    <t>Ingresos Propios(miles $) Unidad Monterrey</t>
  </si>
  <si>
    <t xml:space="preserve">Ingresos  por Convocatoria </t>
  </si>
  <si>
    <t>Ingresos Totales (millones $)</t>
  </si>
  <si>
    <t>Becas y Transferencias</t>
  </si>
  <si>
    <t>Becas</t>
  </si>
  <si>
    <t>Modificado  2010</t>
  </si>
  <si>
    <t>Transferencias Fideicomiso</t>
  </si>
  <si>
    <t xml:space="preserve">Modificado </t>
  </si>
  <si>
    <t>Ejercido</t>
  </si>
  <si>
    <t>Verano de Investigación Científica</t>
  </si>
  <si>
    <t>Alumnos Participantes</t>
  </si>
  <si>
    <t xml:space="preserve">Científico y Tecnológico </t>
  </si>
  <si>
    <t>Todo</t>
  </si>
  <si>
    <t xml:space="preserve">Artículos en revistas indizadas </t>
  </si>
  <si>
    <t>Artículos  en extenso en Congresos Internacionales</t>
  </si>
  <si>
    <t>Artículos con arbitraje publicados (Revistas y Congresos)</t>
  </si>
  <si>
    <t xml:space="preserve">Vinculación </t>
  </si>
  <si>
    <t>FONCICYT</t>
  </si>
  <si>
    <t>Tesis</t>
  </si>
  <si>
    <t>Factor de Impacto</t>
  </si>
  <si>
    <t xml:space="preserve">CONACYT  </t>
  </si>
  <si>
    <t>Menor que 1</t>
  </si>
  <si>
    <t>Entre 1 y 2</t>
  </si>
  <si>
    <t>Entre 2 y 3</t>
  </si>
  <si>
    <t>Entre 3 y 5</t>
  </si>
  <si>
    <t>Mayor a  5</t>
  </si>
  <si>
    <t xml:space="preserve">Investigadores </t>
  </si>
  <si>
    <t>Técnicos</t>
  </si>
  <si>
    <t>Investigadores en el SNI  Unidad Monterrey</t>
  </si>
  <si>
    <t>Artículos con arbitraje publicados (Revistas y Congresos) UM</t>
  </si>
  <si>
    <t>Grado Académico P CyT UM</t>
  </si>
  <si>
    <t xml:space="preserve">Alumnos de Licenciatura atendidos UM </t>
  </si>
  <si>
    <t>Estudiantes matriculados UM</t>
  </si>
  <si>
    <t>Ingresos por Proyectos  por Convocatoria UM</t>
  </si>
  <si>
    <t>Total CIMAV</t>
  </si>
  <si>
    <t xml:space="preserve">Unidad Monterrey </t>
  </si>
  <si>
    <t xml:space="preserve">Total  CIMAV </t>
  </si>
  <si>
    <t>%</t>
  </si>
  <si>
    <t xml:space="preserve">Fondo Institucional </t>
  </si>
  <si>
    <t>Fondos Sectoriales</t>
  </si>
  <si>
    <t xml:space="preserve">Total </t>
  </si>
  <si>
    <t>Ingresos por Proyectos por  Convocatorias 2011</t>
  </si>
  <si>
    <t>Graduados Maestría en Comercialización de CyT</t>
  </si>
  <si>
    <t>1ra. Generación</t>
  </si>
  <si>
    <t>2da. Generación</t>
  </si>
  <si>
    <t>3ra. Generación</t>
  </si>
  <si>
    <t>1ra. Gen</t>
  </si>
  <si>
    <t>2da. Gen</t>
  </si>
  <si>
    <t>3ra. Gen</t>
  </si>
  <si>
    <t>Ingresos por Proyectos por Convocatoria (todos Inv y no Inv)</t>
  </si>
  <si>
    <t>Servicios</t>
  </si>
  <si>
    <t>Proyectos</t>
  </si>
  <si>
    <t>Ingresos por Servicios y Proyectos 2011</t>
  </si>
  <si>
    <t>Mixtos</t>
  </si>
  <si>
    <t>Sectoriales</t>
  </si>
  <si>
    <t>Institucionales</t>
  </si>
  <si>
    <t>Foncicyt</t>
  </si>
  <si>
    <t>Núm.Proyectos</t>
  </si>
  <si>
    <t>Monto Total Proyectos</t>
  </si>
  <si>
    <t>Proyectos Vigentes en el Periodo (inc Investigación, Infraest,fortal)</t>
  </si>
  <si>
    <t>Clasificación de Personal</t>
  </si>
  <si>
    <t>Científico y Tecnológico</t>
  </si>
  <si>
    <t>Mandos Medios</t>
  </si>
  <si>
    <t>Apoyo Área Sustantiva</t>
  </si>
  <si>
    <t>Administrativo y de Apoyo</t>
  </si>
  <si>
    <t>Nota:  Administrativo= MMS+Hon+AyA-AAS</t>
  </si>
  <si>
    <t xml:space="preserve">Crecimiento </t>
  </si>
  <si>
    <t xml:space="preserve">Carrera Técnica </t>
  </si>
  <si>
    <t>Maestria en Nanotecnología</t>
  </si>
  <si>
    <t>Doctorado en Nanotecnología</t>
  </si>
  <si>
    <t>Entre 5 y 8</t>
  </si>
  <si>
    <t>Maestría en Energias Renovables</t>
  </si>
  <si>
    <t>Programado 2011</t>
  </si>
  <si>
    <t xml:space="preserve"> Captado 2011</t>
  </si>
  <si>
    <t>Programado 2012</t>
  </si>
  <si>
    <t xml:space="preserve"> Captado 2012</t>
  </si>
  <si>
    <t>Original  2011</t>
  </si>
  <si>
    <t>Ejercido 2011</t>
  </si>
  <si>
    <t>Original  2012</t>
  </si>
  <si>
    <t>Ejercido 2012</t>
  </si>
  <si>
    <t>Técnicos por Investigador</t>
  </si>
  <si>
    <t>Técnicos No Académicos (Sistemas, Metrología, Serv CyT, Cargo administrativo)</t>
  </si>
  <si>
    <t>Técnicos Académicos</t>
  </si>
  <si>
    <t>Productividad por Investigador</t>
  </si>
  <si>
    <t>Técnicos en el S N I</t>
  </si>
  <si>
    <t xml:space="preserve">Nivel II </t>
  </si>
  <si>
    <t xml:space="preserve">Candidatos </t>
  </si>
  <si>
    <t>Personal CyT en el S.N.I.</t>
  </si>
  <si>
    <t>Estancias</t>
  </si>
  <si>
    <t>9° Verano de Investigación Científica</t>
  </si>
  <si>
    <t>Tesistas de Maestría y Doctorado</t>
  </si>
  <si>
    <t>Eficiencia Terminal</t>
  </si>
  <si>
    <t>Doctorado en Ciencia e Ingeniería Ambiental</t>
  </si>
  <si>
    <t>Sumatoria Número de Años</t>
  </si>
  <si>
    <t xml:space="preserve">Matrícula de Otros Programas de Posgrado </t>
  </si>
  <si>
    <t>Maestría en Comercialización de la CyT</t>
  </si>
  <si>
    <t>Maestría en Energías Renovables</t>
  </si>
  <si>
    <t>Maestría en Nanotecnología</t>
  </si>
  <si>
    <t>Crecimiento Anual Matrícula PNPC</t>
  </si>
  <si>
    <t>Programa de Estímulo a la Investigación, Desarrollo Tecnológico e Innovación</t>
  </si>
  <si>
    <t>Proyectos aprobados</t>
  </si>
  <si>
    <t>Monto total aprobado (miles$)</t>
  </si>
  <si>
    <t>Promedio $ por proyecto</t>
  </si>
  <si>
    <t>Crecimiento por proyecto</t>
  </si>
  <si>
    <t>Crecimiento en $</t>
  </si>
  <si>
    <t>Crecimiento (2009 a 2013) número proyectos</t>
  </si>
  <si>
    <t>Crecimiento 5 años (2009 a 2013) miles $</t>
  </si>
  <si>
    <t>Clientes por sector</t>
  </si>
  <si>
    <t xml:space="preserve">Industria Maquiladora de Exportación </t>
  </si>
  <si>
    <t>Mediana y Grande Empresa Nacional</t>
  </si>
  <si>
    <t>Micro y Pequeña Empresa Nacional</t>
  </si>
  <si>
    <t>Ingresos por Proyectos y Servicios</t>
  </si>
  <si>
    <t xml:space="preserve">Ingresos por Servicios </t>
  </si>
  <si>
    <t>Ingresos por Proyectos (miles $ )</t>
  </si>
  <si>
    <t>Ingresos por Posgrado</t>
  </si>
  <si>
    <t>Otros Ingresos</t>
  </si>
  <si>
    <t>Total de Ingresos por Proyectos y Servicios</t>
  </si>
  <si>
    <t>Instituciones de Investigación y Docencia</t>
  </si>
  <si>
    <t>Ingresos de servicios certificados- acreditados 2003-2005</t>
  </si>
  <si>
    <t>Laboratorios acreditados/certificados (miles $)</t>
  </si>
  <si>
    <t>Laboratorios no acreditados/certificados  (miles $)</t>
  </si>
  <si>
    <t>Índices de Precios</t>
  </si>
  <si>
    <t>2001/06</t>
  </si>
  <si>
    <t>2002/06</t>
  </si>
  <si>
    <t>2003/06</t>
  </si>
  <si>
    <t>2004/06</t>
  </si>
  <si>
    <t>2005/06</t>
  </si>
  <si>
    <t>2006/06</t>
  </si>
  <si>
    <t>Ingresos (Nominales) por fuente de recursos. Miles de precios corrientes</t>
  </si>
  <si>
    <t>Autogenerados + Diversos</t>
  </si>
  <si>
    <t xml:space="preserve">Propios y Fiscales. Gasto por capítulo. Ejercido Devengado.  Miles de pesos corrientes </t>
  </si>
  <si>
    <t>Gasto Corriente</t>
  </si>
  <si>
    <t>Gasto de Inversión</t>
  </si>
  <si>
    <t>Propios y Fiscales.  Gasto por capítulo. Ejercido Devengado.  Millones de pesos .Nominales</t>
  </si>
  <si>
    <t>Fiscales y Propios. Gasto Ejercido Devengado.  Millones de pesos Nominales</t>
  </si>
  <si>
    <t>Gasto de Operación</t>
  </si>
  <si>
    <t xml:space="preserve">Fiscales. Gasto por capítulo.Programado Modificado y Ejercido Devengado.  Miles de pesos corrientes </t>
  </si>
  <si>
    <t xml:space="preserve">Fiscales. Gasto por capítulo.Programado Modificado 2008.  Miles de pesos corrientes </t>
  </si>
  <si>
    <t>Análisis Químicos</t>
  </si>
  <si>
    <t xml:space="preserve">Corrosíon y Protección </t>
  </si>
  <si>
    <t>Calidad del Aire</t>
  </si>
  <si>
    <t>Metrología</t>
  </si>
  <si>
    <t>Residuos</t>
  </si>
  <si>
    <t>.</t>
  </si>
  <si>
    <t>Títulos Otorgados</t>
  </si>
  <si>
    <t>En Examen de fondo</t>
  </si>
  <si>
    <t>Pasó Examen de Forma</t>
  </si>
  <si>
    <t>*</t>
  </si>
  <si>
    <t>Proyectos de Investigación Vigentes (únicamente investigación)</t>
  </si>
  <si>
    <t>Prácticas o  Residencias profesionales</t>
  </si>
  <si>
    <t>Graduados en programas del posgrado (PNPC)</t>
  </si>
  <si>
    <t>Estancias Posdoctorales</t>
  </si>
  <si>
    <t>LABORATORIOS CON PRUEBAS O MÉTODOS  ACREDITADOS ANTE LA EMA</t>
  </si>
  <si>
    <t>Gráfica</t>
  </si>
  <si>
    <t>Crecimiento 10 años</t>
  </si>
  <si>
    <t>Crecimiento en CyT</t>
  </si>
  <si>
    <t>Crecimiento</t>
  </si>
  <si>
    <t>Artículos  en revistas Indizadas</t>
  </si>
  <si>
    <t>índice  por Investigador</t>
  </si>
  <si>
    <t>Factor de Impacto Promedio por año</t>
  </si>
</sst>
</file>

<file path=xl/styles.xml><?xml version="1.0" encoding="utf-8"?>
<styleSheet xmlns="http://schemas.openxmlformats.org/spreadsheetml/2006/main">
  <numFmts count="11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#,##0.0"/>
    <numFmt numFmtId="166" formatCode="0.0000"/>
    <numFmt numFmtId="167" formatCode="0.000"/>
    <numFmt numFmtId="168" formatCode="0.0%"/>
    <numFmt numFmtId="169" formatCode="_-[$€-2]* #,##0.00_-;\-[$€-2]* #,##0.00_-;_-[$€-2]* &quot;-&quot;??_-"/>
    <numFmt numFmtId="170" formatCode="_-&quot;$&quot;* #,##0_-;\-&quot;$&quot;* #,##0_-;_-&quot;$&quot;* &quot;-&quot;??_-;_-@_-"/>
    <numFmt numFmtId="171" formatCode="&quot;$&quot;#,##0.00"/>
    <numFmt numFmtId="172" formatCode="&quot;$&quot;#,##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2"/>
      <color indexed="10"/>
      <name val="Arial"/>
      <family val="2"/>
    </font>
    <font>
      <sz val="10"/>
      <name val="Geneva"/>
    </font>
    <font>
      <b/>
      <sz val="10"/>
      <color indexed="9"/>
      <name val="Arial"/>
      <family val="2"/>
    </font>
    <font>
      <sz val="12"/>
      <color indexed="15"/>
      <name val="Arial"/>
      <family val="2"/>
    </font>
    <font>
      <sz val="10"/>
      <color indexed="14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sz val="11"/>
      <color indexed="41"/>
      <name val="Book Antiqua"/>
      <family val="1"/>
    </font>
    <font>
      <sz val="11"/>
      <name val="Book Antiqua"/>
      <family val="1"/>
    </font>
    <font>
      <b/>
      <sz val="11"/>
      <color indexed="41"/>
      <name val="Book Antiqua"/>
      <family val="1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name val="Tahoma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00CC"/>
      <name val="Arial"/>
      <family val="2"/>
    </font>
    <font>
      <b/>
      <sz val="11"/>
      <color indexed="8"/>
      <name val="Calibri"/>
      <family val="2"/>
    </font>
    <font>
      <sz val="11"/>
      <color indexed="6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0" fontId="1" fillId="0" borderId="0"/>
    <xf numFmtId="169" fontId="2" fillId="0" borderId="0" applyFont="0" applyFill="0" applyBorder="0" applyAlignment="0" applyProtection="0"/>
  </cellStyleXfs>
  <cellXfs count="483">
    <xf numFmtId="0" fontId="0" fillId="0" borderId="0" xfId="0"/>
    <xf numFmtId="0" fontId="3" fillId="0" borderId="0" xfId="0" applyFont="1"/>
    <xf numFmtId="0" fontId="0" fillId="0" borderId="0" xfId="0" applyFill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164" fontId="11" fillId="0" borderId="0" xfId="0" quotePrefix="1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164" fontId="2" fillId="0" borderId="3" xfId="0" quotePrefix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0" xfId="0" applyFont="1" applyBorder="1" applyAlignment="1"/>
    <xf numFmtId="1" fontId="2" fillId="0" borderId="1" xfId="0" quotePrefix="1" applyNumberFormat="1" applyFont="1" applyBorder="1" applyAlignment="1">
      <alignment horizontal="center" vertical="center" wrapText="1"/>
    </xf>
    <xf numFmtId="1" fontId="11" fillId="0" borderId="5" xfId="0" quotePrefix="1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6" fillId="0" borderId="0" xfId="0" quotePrefix="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/>
    <xf numFmtId="164" fontId="11" fillId="0" borderId="3" xfId="0" quotePrefix="1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1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quotePrefix="1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 shrinkToFit="1"/>
    </xf>
    <xf numFmtId="164" fontId="6" fillId="2" borderId="3" xfId="0" quotePrefix="1" applyNumberFormat="1" applyFont="1" applyFill="1" applyBorder="1" applyAlignment="1">
      <alignment horizontal="center" vertical="center" wrapText="1" shrinkToFi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164" fontId="6" fillId="0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1" fontId="11" fillId="0" borderId="6" xfId="0" quotePrefix="1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/>
    <xf numFmtId="0" fontId="11" fillId="0" borderId="3" xfId="0" quotePrefix="1" applyFont="1" applyFill="1" applyBorder="1"/>
    <xf numFmtId="164" fontId="11" fillId="0" borderId="3" xfId="0" applyNumberFormat="1" applyFont="1" applyFill="1" applyBorder="1"/>
    <xf numFmtId="0" fontId="16" fillId="0" borderId="0" xfId="0" applyFont="1"/>
    <xf numFmtId="167" fontId="11" fillId="2" borderId="3" xfId="0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 shrinkToFit="1"/>
    </xf>
    <xf numFmtId="165" fontId="6" fillId="0" borderId="0" xfId="0" applyNumberFormat="1" applyFont="1" applyFill="1" applyBorder="1" applyAlignment="1">
      <alignment horizontal="center" vertical="center" wrapText="1" shrinkToFit="1"/>
    </xf>
    <xf numFmtId="165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4" fontId="0" fillId="2" borderId="3" xfId="0" applyNumberFormat="1" applyFill="1" applyBorder="1"/>
    <xf numFmtId="0" fontId="0" fillId="3" borderId="3" xfId="0" applyFill="1" applyBorder="1"/>
    <xf numFmtId="0" fontId="11" fillId="3" borderId="3" xfId="0" applyFont="1" applyFill="1" applyBorder="1" applyAlignment="1">
      <alignment horizontal="left" vertical="top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3" xfId="0" quotePrefix="1" applyNumberFormat="1" applyFont="1" applyFill="1" applyBorder="1" applyAlignment="1">
      <alignment horizontal="center" vertical="center" wrapText="1"/>
    </xf>
    <xf numFmtId="164" fontId="2" fillId="3" borderId="3" xfId="0" quotePrefix="1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 shrinkToFi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3" xfId="0" quotePrefix="1" applyNumberFormat="1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7" fontId="11" fillId="0" borderId="0" xfId="0" quotePrefix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/>
    <xf numFmtId="164" fontId="6" fillId="3" borderId="3" xfId="0" quotePrefix="1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wrapText="1"/>
    </xf>
    <xf numFmtId="0" fontId="12" fillId="4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164" fontId="6" fillId="3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0" fillId="3" borderId="3" xfId="0" applyNumberFormat="1" applyFill="1" applyBorder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 wrapText="1" shrinkToFit="1"/>
    </xf>
    <xf numFmtId="0" fontId="22" fillId="9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3" fillId="0" borderId="3" xfId="0" applyFont="1" applyFill="1" applyBorder="1" applyAlignment="1">
      <alignment horizontal="center" vertical="center" wrapText="1" shrinkToFit="1"/>
    </xf>
    <xf numFmtId="0" fontId="4" fillId="1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 shrinkToFit="1"/>
    </xf>
    <xf numFmtId="164" fontId="0" fillId="11" borderId="3" xfId="0" applyNumberForma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 shrinkToFit="1"/>
    </xf>
    <xf numFmtId="167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27" fillId="0" borderId="3" xfId="0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/>
    </xf>
    <xf numFmtId="164" fontId="0" fillId="12" borderId="3" xfId="0" applyNumberForma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 shrinkToFit="1"/>
    </xf>
    <xf numFmtId="164" fontId="0" fillId="12" borderId="3" xfId="0" applyNumberFormat="1" applyFill="1" applyBorder="1" applyAlignment="1">
      <alignment horizontal="center" vertical="center" wrapText="1" shrinkToFit="1"/>
    </xf>
    <xf numFmtId="164" fontId="0" fillId="6" borderId="3" xfId="0" applyNumberForma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0" fillId="6" borderId="45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30" fillId="0" borderId="3" xfId="0" applyNumberFormat="1" applyFont="1" applyFill="1" applyBorder="1" applyAlignment="1">
      <alignment vertical="center" wrapText="1"/>
    </xf>
    <xf numFmtId="1" fontId="30" fillId="0" borderId="0" xfId="0" applyNumberFormat="1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/>
    </xf>
    <xf numFmtId="167" fontId="2" fillId="15" borderId="3" xfId="0" applyNumberFormat="1" applyFont="1" applyFill="1" applyBorder="1" applyAlignment="1">
      <alignment horizontal="center" vertical="center" wrapText="1"/>
    </xf>
    <xf numFmtId="167" fontId="31" fillId="0" borderId="0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/>
    </xf>
    <xf numFmtId="167" fontId="32" fillId="0" borderId="3" xfId="0" applyNumberFormat="1" applyFont="1" applyFill="1" applyBorder="1" applyAlignment="1">
      <alignment horizontal="center" vertical="center" wrapText="1"/>
    </xf>
    <xf numFmtId="167" fontId="32" fillId="0" borderId="3" xfId="0" applyNumberFormat="1" applyFont="1" applyFill="1" applyBorder="1" applyAlignment="1">
      <alignment horizontal="center" vertical="center"/>
    </xf>
    <xf numFmtId="164" fontId="32" fillId="0" borderId="3" xfId="0" applyNumberFormat="1" applyFont="1" applyFill="1" applyBorder="1" applyAlignment="1">
      <alignment horizontal="center" vertical="center" wrapText="1"/>
    </xf>
    <xf numFmtId="167" fontId="32" fillId="14" borderId="3" xfId="0" applyNumberFormat="1" applyFont="1" applyFill="1" applyBorder="1" applyAlignment="1">
      <alignment horizontal="center" vertical="center" wrapText="1"/>
    </xf>
    <xf numFmtId="2" fontId="32" fillId="14" borderId="3" xfId="0" applyNumberFormat="1" applyFont="1" applyFill="1" applyBorder="1" applyAlignment="1">
      <alignment horizontal="center" vertical="center"/>
    </xf>
    <xf numFmtId="167" fontId="32" fillId="14" borderId="3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 wrapText="1"/>
    </xf>
    <xf numFmtId="0" fontId="32" fillId="14" borderId="3" xfId="0" applyFont="1" applyFill="1" applyBorder="1" applyAlignment="1">
      <alignment horizontal="center" vertical="center" wrapText="1"/>
    </xf>
    <xf numFmtId="167" fontId="32" fillId="17" borderId="3" xfId="0" applyNumberFormat="1" applyFont="1" applyFill="1" applyBorder="1" applyAlignment="1">
      <alignment horizontal="center" vertical="center" wrapText="1"/>
    </xf>
    <xf numFmtId="0" fontId="32" fillId="17" borderId="3" xfId="0" applyFont="1" applyFill="1" applyBorder="1" applyAlignment="1">
      <alignment horizontal="center" vertical="center"/>
    </xf>
    <xf numFmtId="167" fontId="32" fillId="17" borderId="3" xfId="0" applyNumberFormat="1" applyFont="1" applyFill="1" applyBorder="1" applyAlignment="1">
      <alignment horizontal="center" vertical="center"/>
    </xf>
    <xf numFmtId="2" fontId="32" fillId="17" borderId="3" xfId="0" applyNumberFormat="1" applyFont="1" applyFill="1" applyBorder="1" applyAlignment="1">
      <alignment horizontal="center" vertical="center" wrapText="1"/>
    </xf>
    <xf numFmtId="167" fontId="32" fillId="16" borderId="3" xfId="0" applyNumberFormat="1" applyFont="1" applyFill="1" applyBorder="1" applyAlignment="1">
      <alignment horizontal="center" vertical="center" wrapText="1"/>
    </xf>
    <xf numFmtId="0" fontId="32" fillId="16" borderId="3" xfId="0" applyFont="1" applyFill="1" applyBorder="1" applyAlignment="1">
      <alignment horizontal="center" vertical="center"/>
    </xf>
    <xf numFmtId="0" fontId="32" fillId="16" borderId="3" xfId="0" applyFont="1" applyFill="1" applyBorder="1" applyAlignment="1">
      <alignment horizontal="center" vertical="center" wrapText="1"/>
    </xf>
    <xf numFmtId="2" fontId="32" fillId="16" borderId="3" xfId="0" applyNumberFormat="1" applyFont="1" applyFill="1" applyBorder="1" applyAlignment="1">
      <alignment horizontal="center" vertical="center" wrapText="1"/>
    </xf>
    <xf numFmtId="167" fontId="32" fillId="16" borderId="3" xfId="0" applyNumberFormat="1" applyFont="1" applyFill="1" applyBorder="1" applyAlignment="1">
      <alignment horizontal="center" vertical="center"/>
    </xf>
    <xf numFmtId="167" fontId="32" fillId="8" borderId="3" xfId="0" applyNumberFormat="1" applyFont="1" applyFill="1" applyBorder="1" applyAlignment="1">
      <alignment horizontal="center" vertical="center" wrapText="1"/>
    </xf>
    <xf numFmtId="167" fontId="32" fillId="8" borderId="3" xfId="0" applyNumberFormat="1" applyFont="1" applyFill="1" applyBorder="1" applyAlignment="1">
      <alignment horizontal="center" vertical="center"/>
    </xf>
    <xf numFmtId="2" fontId="32" fillId="8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26" fillId="12" borderId="3" xfId="0" applyFont="1" applyFill="1" applyBorder="1" applyAlignment="1">
      <alignment horizontal="left" vertical="center"/>
    </xf>
    <xf numFmtId="0" fontId="26" fillId="12" borderId="3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left" vertical="center"/>
    </xf>
    <xf numFmtId="0" fontId="0" fillId="13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left" vertical="center"/>
    </xf>
    <xf numFmtId="0" fontId="0" fillId="11" borderId="3" xfId="0" applyFill="1" applyBorder="1"/>
    <xf numFmtId="0" fontId="0" fillId="11" borderId="3" xfId="0" applyFill="1" applyBorder="1" applyAlignment="1">
      <alignment horizontal="center"/>
    </xf>
    <xf numFmtId="3" fontId="6" fillId="3" borderId="0" xfId="0" applyNumberFormat="1" applyFont="1" applyFill="1" applyAlignment="1"/>
    <xf numFmtId="0" fontId="9" fillId="3" borderId="0" xfId="0" applyFont="1" applyFill="1" applyAlignment="1"/>
    <xf numFmtId="3" fontId="6" fillId="3" borderId="0" xfId="0" applyNumberFormat="1" applyFont="1" applyFill="1"/>
    <xf numFmtId="0" fontId="6" fillId="3" borderId="0" xfId="0" applyFont="1" applyFill="1"/>
    <xf numFmtId="0" fontId="9" fillId="3" borderId="0" xfId="0" applyFont="1" applyFill="1"/>
    <xf numFmtId="3" fontId="9" fillId="3" borderId="0" xfId="0" applyNumberFormat="1" applyFont="1" applyFill="1"/>
    <xf numFmtId="0" fontId="32" fillId="22" borderId="0" xfId="0" applyFont="1" applyFill="1" applyAlignment="1">
      <alignment horizontal="center"/>
    </xf>
    <xf numFmtId="0" fontId="9" fillId="22" borderId="0" xfId="0" applyFont="1" applyFill="1" applyBorder="1" applyAlignment="1">
      <alignment horizontal="center" vertical="top" wrapText="1"/>
    </xf>
    <xf numFmtId="0" fontId="6" fillId="22" borderId="0" xfId="0" applyFont="1" applyFill="1" applyBorder="1" applyAlignment="1">
      <alignment vertical="top" wrapText="1"/>
    </xf>
    <xf numFmtId="0" fontId="6" fillId="22" borderId="0" xfId="0" applyFont="1" applyFill="1" applyBorder="1" applyAlignment="1">
      <alignment horizontal="center" vertical="top" wrapText="1"/>
    </xf>
    <xf numFmtId="0" fontId="9" fillId="22" borderId="0" xfId="0" applyFont="1" applyFill="1" applyBorder="1" applyAlignment="1">
      <alignment vertical="top" wrapText="1"/>
    </xf>
    <xf numFmtId="172" fontId="6" fillId="22" borderId="0" xfId="0" applyNumberFormat="1" applyFont="1" applyFill="1" applyAlignment="1">
      <alignment horizontal="center"/>
    </xf>
    <xf numFmtId="0" fontId="6" fillId="22" borderId="0" xfId="0" applyFont="1" applyFill="1" applyAlignment="1">
      <alignment horizontal="center"/>
    </xf>
    <xf numFmtId="9" fontId="6" fillId="22" borderId="0" xfId="0" applyNumberFormat="1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9" fillId="22" borderId="0" xfId="0" applyFont="1" applyFill="1" applyAlignment="1"/>
    <xf numFmtId="0" fontId="9" fillId="22" borderId="0" xfId="0" quotePrefix="1" applyNumberFormat="1" applyFont="1" applyFill="1" applyAlignment="1">
      <alignment horizontal="center"/>
    </xf>
    <xf numFmtId="0" fontId="9" fillId="0" borderId="0" xfId="0" quotePrefix="1" applyNumberFormat="1" applyFont="1" applyFill="1" applyAlignment="1">
      <alignment horizontal="center"/>
    </xf>
    <xf numFmtId="0" fontId="6" fillId="22" borderId="0" xfId="0" applyFont="1" applyFill="1" applyAlignment="1">
      <alignment horizontal="left"/>
    </xf>
    <xf numFmtId="3" fontId="6" fillId="22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9" fillId="22" borderId="0" xfId="0" applyFont="1" applyFill="1" applyAlignment="1">
      <alignment horizontal="left"/>
    </xf>
    <xf numFmtId="3" fontId="9" fillId="22" borderId="0" xfId="0" applyNumberFormat="1" applyFont="1" applyFill="1" applyAlignment="1">
      <alignment horizontal="center"/>
    </xf>
    <xf numFmtId="168" fontId="9" fillId="22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9" fillId="22" borderId="0" xfId="0" applyFont="1" applyFill="1"/>
    <xf numFmtId="3" fontId="9" fillId="22" borderId="0" xfId="0" quotePrefix="1" applyNumberFormat="1" applyFont="1" applyFill="1" applyAlignment="1">
      <alignment horizontal="center"/>
    </xf>
    <xf numFmtId="0" fontId="6" fillId="22" borderId="0" xfId="0" applyFont="1" applyFill="1"/>
    <xf numFmtId="3" fontId="6" fillId="22" borderId="0" xfId="0" quotePrefix="1" applyNumberFormat="1" applyFont="1" applyFill="1" applyAlignment="1">
      <alignment horizontal="center"/>
    </xf>
    <xf numFmtId="168" fontId="6" fillId="22" borderId="0" xfId="0" quotePrefix="1" applyNumberFormat="1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/>
    </xf>
    <xf numFmtId="0" fontId="6" fillId="0" borderId="0" xfId="0" quotePrefix="1" applyFont="1"/>
    <xf numFmtId="3" fontId="6" fillId="0" borderId="0" xfId="0" quotePrefix="1" applyNumberFormat="1" applyFont="1" applyAlignment="1">
      <alignment horizontal="center"/>
    </xf>
    <xf numFmtId="168" fontId="9" fillId="22" borderId="0" xfId="0" quotePrefix="1" applyNumberFormat="1" applyFont="1" applyFill="1" applyAlignment="1">
      <alignment horizontal="center"/>
    </xf>
    <xf numFmtId="165" fontId="9" fillId="22" borderId="0" xfId="0" quotePrefix="1" applyNumberFormat="1" applyFont="1" applyFill="1" applyAlignment="1">
      <alignment horizontal="center"/>
    </xf>
    <xf numFmtId="3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/>
    <xf numFmtId="9" fontId="9" fillId="22" borderId="0" xfId="3" applyFont="1" applyFill="1" applyAlignment="1">
      <alignment horizontal="center"/>
    </xf>
    <xf numFmtId="9" fontId="9" fillId="0" borderId="0" xfId="3" applyFont="1" applyFill="1" applyAlignment="1">
      <alignment horizontal="center"/>
    </xf>
    <xf numFmtId="3" fontId="6" fillId="0" borderId="0" xfId="0" applyNumberFormat="1" applyFont="1" applyFill="1" applyBorder="1"/>
    <xf numFmtId="0" fontId="9" fillId="22" borderId="0" xfId="0" applyFont="1" applyFill="1" applyAlignment="1">
      <alignment horizontal="center"/>
    </xf>
    <xf numFmtId="1" fontId="6" fillId="22" borderId="0" xfId="0" applyNumberFormat="1" applyFont="1" applyFill="1" applyAlignment="1">
      <alignment horizontal="center"/>
    </xf>
    <xf numFmtId="3" fontId="6" fillId="0" borderId="0" xfId="0" applyNumberFormat="1" applyFont="1"/>
    <xf numFmtId="0" fontId="6" fillId="22" borderId="0" xfId="0" quotePrefix="1" applyFont="1" applyFill="1" applyAlignment="1">
      <alignment horizontal="center"/>
    </xf>
    <xf numFmtId="1" fontId="9" fillId="22" borderId="0" xfId="0" applyNumberFormat="1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65" fontId="6" fillId="22" borderId="0" xfId="0" applyNumberFormat="1" applyFont="1" applyFill="1" applyAlignment="1">
      <alignment horizontal="center"/>
    </xf>
    <xf numFmtId="165" fontId="9" fillId="22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9" fillId="22" borderId="0" xfId="0" applyFont="1" applyFill="1" applyAlignment="1">
      <alignment wrapText="1"/>
    </xf>
    <xf numFmtId="3" fontId="9" fillId="22" borderId="0" xfId="0" quotePrefix="1" applyNumberFormat="1" applyFont="1" applyFill="1" applyBorder="1" applyAlignment="1">
      <alignment horizontal="center"/>
    </xf>
    <xf numFmtId="0" fontId="9" fillId="22" borderId="0" xfId="0" applyFont="1" applyFill="1" applyBorder="1" applyAlignment="1">
      <alignment horizontal="center"/>
    </xf>
    <xf numFmtId="3" fontId="6" fillId="22" borderId="0" xfId="0" applyNumberFormat="1" applyFont="1" applyFill="1" applyBorder="1"/>
    <xf numFmtId="3" fontId="6" fillId="22" borderId="0" xfId="0" applyNumberFormat="1" applyFont="1" applyFill="1" applyBorder="1" applyAlignment="1">
      <alignment horizontal="center"/>
    </xf>
    <xf numFmtId="165" fontId="6" fillId="22" borderId="0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6" fillId="22" borderId="0" xfId="0" applyFont="1" applyFill="1" applyBorder="1" applyAlignment="1">
      <alignment horizontal="left" vertical="center"/>
    </xf>
    <xf numFmtId="0" fontId="6" fillId="22" borderId="0" xfId="0" applyFont="1" applyFill="1" applyBorder="1" applyAlignment="1">
      <alignment horizontal="center" vertical="center"/>
    </xf>
    <xf numFmtId="0" fontId="6" fillId="22" borderId="0" xfId="0" applyFont="1" applyFill="1" applyBorder="1" applyAlignment="1">
      <alignment horizontal="center"/>
    </xf>
    <xf numFmtId="0" fontId="9" fillId="0" borderId="0" xfId="0" applyFont="1" applyFill="1"/>
    <xf numFmtId="1" fontId="9" fillId="8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9" fillId="8" borderId="0" xfId="0" applyFont="1" applyFill="1"/>
    <xf numFmtId="165" fontId="6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0" xfId="0" applyFont="1" applyFill="1"/>
    <xf numFmtId="165" fontId="6" fillId="0" borderId="0" xfId="0" applyNumberFormat="1" applyFont="1" applyFill="1" applyAlignment="1">
      <alignment horizontal="center" wrapText="1"/>
    </xf>
    <xf numFmtId="0" fontId="35" fillId="0" borderId="0" xfId="0" applyFont="1"/>
    <xf numFmtId="0" fontId="6" fillId="22" borderId="0" xfId="0" applyFont="1" applyFill="1" applyBorder="1" applyAlignment="1">
      <alignment horizontal="center" vertical="center" wrapText="1" shrinkToFit="1"/>
    </xf>
    <xf numFmtId="0" fontId="6" fillId="22" borderId="0" xfId="0" quotePrefix="1" applyFont="1" applyFill="1" applyAlignment="1">
      <alignment horizontal="left"/>
    </xf>
    <xf numFmtId="165" fontId="6" fillId="22" borderId="0" xfId="0" applyNumberFormat="1" applyFont="1" applyFill="1"/>
    <xf numFmtId="3" fontId="6" fillId="22" borderId="0" xfId="0" applyNumberFormat="1" applyFont="1" applyFill="1"/>
    <xf numFmtId="165" fontId="6" fillId="0" borderId="0" xfId="0" applyNumberFormat="1" applyFont="1" applyFill="1"/>
    <xf numFmtId="0" fontId="9" fillId="22" borderId="0" xfId="0" quotePrefix="1" applyFont="1" applyFill="1" applyAlignment="1">
      <alignment horizontal="center"/>
    </xf>
    <xf numFmtId="164" fontId="6" fillId="22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9" fillId="22" borderId="0" xfId="0" applyFont="1" applyFill="1" applyBorder="1" applyAlignment="1">
      <alignment horizontal="center" vertical="center"/>
    </xf>
    <xf numFmtId="0" fontId="9" fillId="3" borderId="0" xfId="0" applyFont="1" applyFill="1" applyBorder="1"/>
    <xf numFmtId="0" fontId="6" fillId="3" borderId="0" xfId="0" applyFont="1" applyFill="1" applyBorder="1" applyAlignment="1">
      <alignment horizontal="center"/>
    </xf>
    <xf numFmtId="164" fontId="6" fillId="3" borderId="0" xfId="0" quotePrefix="1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/>
    </xf>
    <xf numFmtId="3" fontId="9" fillId="3" borderId="0" xfId="0" quotePrefix="1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9" fillId="3" borderId="0" xfId="0" quotePrefix="1" applyNumberFormat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3" fontId="6" fillId="0" borderId="0" xfId="0" quotePrefix="1" applyNumberFormat="1" applyFont="1"/>
    <xf numFmtId="0" fontId="6" fillId="5" borderId="0" xfId="0" applyFont="1" applyFill="1"/>
    <xf numFmtId="3" fontId="6" fillId="5" borderId="0" xfId="0" quotePrefix="1" applyNumberFormat="1" applyFont="1" applyFill="1" applyAlignment="1">
      <alignment horizontal="center"/>
    </xf>
    <xf numFmtId="0" fontId="6" fillId="0" borderId="0" xfId="0" quotePrefix="1" applyFont="1" applyAlignment="1">
      <alignment horizontal="center"/>
    </xf>
    <xf numFmtId="0" fontId="9" fillId="3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center"/>
    </xf>
    <xf numFmtId="3" fontId="6" fillId="6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9" fontId="6" fillId="3" borderId="0" xfId="3" applyFont="1" applyFill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9" fontId="37" fillId="0" borderId="0" xfId="3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9" fontId="39" fillId="0" borderId="0" xfId="3" applyFont="1" applyFill="1" applyBorder="1" applyAlignment="1">
      <alignment horizontal="center" vertical="center" wrapText="1"/>
    </xf>
    <xf numFmtId="168" fontId="6" fillId="3" borderId="0" xfId="3" applyNumberFormat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3" borderId="0" xfId="0" applyFont="1" applyFill="1" applyAlignment="1">
      <alignment horizontal="center" wrapText="1"/>
    </xf>
    <xf numFmtId="1" fontId="6" fillId="22" borderId="0" xfId="0" quotePrefix="1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9" fontId="6" fillId="0" borderId="0" xfId="3" applyFont="1" applyAlignment="1">
      <alignment horizontal="center"/>
    </xf>
    <xf numFmtId="9" fontId="6" fillId="22" borderId="0" xfId="0" applyNumberFormat="1" applyFont="1" applyFill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6" fillId="7" borderId="0" xfId="0" applyFont="1" applyFill="1" applyAlignment="1">
      <alignment horizontal="center"/>
    </xf>
    <xf numFmtId="3" fontId="6" fillId="7" borderId="0" xfId="0" applyNumberFormat="1" applyFont="1" applyFill="1" applyAlignment="1">
      <alignment horizontal="center"/>
    </xf>
    <xf numFmtId="44" fontId="6" fillId="0" borderId="0" xfId="1" applyFont="1" applyFill="1"/>
    <xf numFmtId="8" fontId="40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6" fontId="6" fillId="0" borderId="0" xfId="0" applyNumberFormat="1" applyFont="1" applyFill="1" applyBorder="1"/>
    <xf numFmtId="3" fontId="6" fillId="11" borderId="0" xfId="0" applyNumberFormat="1" applyFont="1" applyFill="1" applyAlignment="1">
      <alignment horizontal="center"/>
    </xf>
    <xf numFmtId="0" fontId="6" fillId="3" borderId="0" xfId="0" applyFont="1" applyFill="1" applyBorder="1"/>
    <xf numFmtId="0" fontId="9" fillId="3" borderId="0" xfId="0" applyFont="1" applyFill="1" applyBorder="1" applyAlignment="1">
      <alignment horizontal="center"/>
    </xf>
    <xf numFmtId="4" fontId="41" fillId="3" borderId="0" xfId="2" applyNumberFormat="1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6" fillId="3" borderId="0" xfId="0" applyNumberFormat="1" applyFont="1" applyFill="1" applyBorder="1"/>
    <xf numFmtId="4" fontId="6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165" fontId="9" fillId="3" borderId="0" xfId="0" applyNumberFormat="1" applyFont="1" applyFill="1" applyAlignment="1">
      <alignment horizontal="center"/>
    </xf>
    <xf numFmtId="0" fontId="42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/>
    </xf>
    <xf numFmtId="4" fontId="43" fillId="3" borderId="0" xfId="0" applyNumberFormat="1" applyFont="1" applyFill="1" applyBorder="1" applyAlignment="1">
      <alignment horizontal="right" vertical="top" wrapText="1"/>
    </xf>
    <xf numFmtId="0" fontId="43" fillId="3" borderId="0" xfId="0" applyFont="1" applyFill="1" applyBorder="1" applyAlignment="1">
      <alignment horizontal="right" vertical="top" wrapText="1"/>
    </xf>
    <xf numFmtId="3" fontId="6" fillId="3" borderId="0" xfId="0" applyNumberFormat="1" applyFont="1" applyFill="1" applyBorder="1"/>
    <xf numFmtId="0" fontId="42" fillId="3" borderId="0" xfId="0" applyFont="1" applyFill="1" applyBorder="1" applyAlignment="1">
      <alignment horizontal="justify" vertical="top" wrapText="1"/>
    </xf>
    <xf numFmtId="4" fontId="9" fillId="3" borderId="0" xfId="0" applyNumberFormat="1" applyFont="1" applyFill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center"/>
    </xf>
    <xf numFmtId="165" fontId="43" fillId="3" borderId="0" xfId="0" applyNumberFormat="1" applyFont="1" applyFill="1" applyBorder="1" applyAlignment="1">
      <alignment horizontal="right" vertical="top" wrapText="1"/>
    </xf>
    <xf numFmtId="3" fontId="6" fillId="3" borderId="0" xfId="0" applyNumberFormat="1" applyFont="1" applyFill="1" applyBorder="1" applyAlignment="1">
      <alignment horizontal="right"/>
    </xf>
    <xf numFmtId="165" fontId="9" fillId="3" borderId="0" xfId="0" applyNumberFormat="1" applyFont="1" applyFill="1" applyBorder="1"/>
    <xf numFmtId="0" fontId="9" fillId="19" borderId="0" xfId="0" applyFont="1" applyFill="1"/>
    <xf numFmtId="1" fontId="9" fillId="0" borderId="0" xfId="0" applyNumberFormat="1" applyFont="1" applyFill="1" applyAlignment="1">
      <alignment horizontal="center"/>
    </xf>
    <xf numFmtId="0" fontId="44" fillId="0" borderId="0" xfId="0" applyFont="1" applyFill="1"/>
    <xf numFmtId="0" fontId="9" fillId="19" borderId="0" xfId="0" applyFont="1" applyFill="1" applyAlignment="1">
      <alignment wrapText="1"/>
    </xf>
    <xf numFmtId="0" fontId="6" fillId="3" borderId="0" xfId="0" quotePrefix="1" applyFont="1" applyFill="1" applyAlignment="1">
      <alignment horizontal="center"/>
    </xf>
    <xf numFmtId="3" fontId="6" fillId="8" borderId="0" xfId="0" applyNumberFormat="1" applyFont="1" applyFill="1" applyAlignment="1">
      <alignment horizontal="center"/>
    </xf>
    <xf numFmtId="1" fontId="6" fillId="0" borderId="0" xfId="0" applyNumberFormat="1" applyFont="1"/>
    <xf numFmtId="0" fontId="9" fillId="8" borderId="0" xfId="0" applyFont="1" applyFill="1" applyAlignment="1">
      <alignment horizontal="center"/>
    </xf>
    <xf numFmtId="0" fontId="9" fillId="19" borderId="0" xfId="0" applyFont="1" applyFill="1" applyBorder="1"/>
    <xf numFmtId="3" fontId="9" fillId="3" borderId="0" xfId="0" quotePrefix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3" fontId="6" fillId="3" borderId="0" xfId="0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0" fontId="6" fillId="21" borderId="0" xfId="0" applyFont="1" applyFill="1"/>
    <xf numFmtId="3" fontId="6" fillId="21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3" borderId="0" xfId="0" applyFont="1" applyFill="1" applyBorder="1" applyAlignment="1">
      <alignment horizontal="center" vertical="center" wrapText="1" shrinkToFit="1"/>
    </xf>
    <xf numFmtId="165" fontId="6" fillId="0" borderId="0" xfId="0" applyNumberFormat="1" applyFont="1"/>
    <xf numFmtId="9" fontId="6" fillId="0" borderId="0" xfId="3" applyFont="1" applyAlignment="1">
      <alignment horizontal="left"/>
    </xf>
    <xf numFmtId="3" fontId="45" fillId="0" borderId="0" xfId="0" applyNumberFormat="1" applyFont="1" applyBorder="1" applyAlignment="1">
      <alignment horizontal="justify"/>
    </xf>
    <xf numFmtId="8" fontId="40" fillId="0" borderId="0" xfId="0" applyNumberFormat="1" applyFont="1" applyBorder="1" applyAlignment="1">
      <alignment horizontal="center"/>
    </xf>
    <xf numFmtId="8" fontId="46" fillId="0" borderId="0" xfId="0" applyNumberFormat="1" applyFont="1" applyFill="1" applyBorder="1" applyAlignment="1">
      <alignment horizontal="center"/>
    </xf>
    <xf numFmtId="1" fontId="6" fillId="8" borderId="0" xfId="0" applyNumberFormat="1" applyFont="1" applyFill="1" applyAlignment="1">
      <alignment horizontal="center"/>
    </xf>
    <xf numFmtId="0" fontId="9" fillId="20" borderId="0" xfId="0" applyFont="1" applyFill="1"/>
    <xf numFmtId="0" fontId="6" fillId="21" borderId="0" xfId="0" applyFont="1" applyFill="1" applyAlignment="1">
      <alignment horizontal="center"/>
    </xf>
    <xf numFmtId="1" fontId="6" fillId="21" borderId="0" xfId="0" applyNumberFormat="1" applyFont="1" applyFill="1" applyAlignment="1">
      <alignment horizontal="center"/>
    </xf>
    <xf numFmtId="0" fontId="9" fillId="21" borderId="0" xfId="0" applyFont="1" applyFill="1"/>
    <xf numFmtId="8" fontId="46" fillId="21" borderId="0" xfId="0" applyNumberFormat="1" applyFont="1" applyFill="1" applyBorder="1" applyAlignment="1">
      <alignment horizontal="center"/>
    </xf>
    <xf numFmtId="8" fontId="6" fillId="8" borderId="0" xfId="0" applyNumberFormat="1" applyFont="1" applyFill="1"/>
    <xf numFmtId="8" fontId="40" fillId="8" borderId="0" xfId="0" applyNumberFormat="1" applyFont="1" applyFill="1" applyBorder="1" applyAlignment="1">
      <alignment horizontal="center"/>
    </xf>
    <xf numFmtId="168" fontId="40" fillId="0" borderId="0" xfId="3" applyNumberFormat="1" applyFont="1" applyFill="1" applyBorder="1" applyAlignment="1">
      <alignment horizontal="center"/>
    </xf>
    <xf numFmtId="3" fontId="9" fillId="21" borderId="0" xfId="0" applyNumberFormat="1" applyFont="1" applyFill="1" applyAlignment="1">
      <alignment horizontal="center"/>
    </xf>
    <xf numFmtId="1" fontId="6" fillId="0" borderId="0" xfId="0" applyNumberFormat="1" applyFont="1" applyFill="1"/>
    <xf numFmtId="0" fontId="9" fillId="0" borderId="0" xfId="0" applyFont="1" applyFill="1" applyBorder="1" applyAlignment="1">
      <alignment wrapText="1"/>
    </xf>
    <xf numFmtId="168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9" fontId="6" fillId="0" borderId="0" xfId="3" applyFont="1" applyFill="1" applyAlignment="1">
      <alignment horizontal="center"/>
    </xf>
    <xf numFmtId="168" fontId="6" fillId="0" borderId="0" xfId="3" applyNumberFormat="1" applyFont="1" applyFill="1" applyAlignment="1">
      <alignment horizontal="center"/>
    </xf>
    <xf numFmtId="4" fontId="47" fillId="0" borderId="0" xfId="0" applyNumberFormat="1" applyFont="1" applyBorder="1" applyAlignment="1">
      <alignment horizontal="center" wrapText="1"/>
    </xf>
    <xf numFmtId="0" fontId="42" fillId="0" borderId="0" xfId="0" applyFont="1" applyFill="1" applyBorder="1" applyAlignment="1">
      <alignment horizontal="center" vertical="top" wrapText="1"/>
    </xf>
    <xf numFmtId="3" fontId="6" fillId="3" borderId="0" xfId="0" applyNumberFormat="1" applyFont="1" applyFill="1" applyAlignment="1">
      <alignment horizontal="right"/>
    </xf>
    <xf numFmtId="165" fontId="6" fillId="3" borderId="0" xfId="0" applyNumberFormat="1" applyFont="1" applyFill="1" applyBorder="1"/>
    <xf numFmtId="0" fontId="9" fillId="3" borderId="0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0" fontId="42" fillId="22" borderId="0" xfId="0" applyFont="1" applyFill="1" applyBorder="1" applyAlignment="1">
      <alignment horizontal="center" vertical="top" wrapText="1"/>
    </xf>
    <xf numFmtId="0" fontId="48" fillId="18" borderId="46" xfId="4" applyFont="1" applyFill="1" applyBorder="1" applyAlignment="1">
      <alignment horizontal="center" vertical="top" wrapText="1"/>
    </xf>
    <xf numFmtId="0" fontId="48" fillId="18" borderId="9" xfId="4" applyFont="1" applyFill="1" applyBorder="1" applyAlignment="1">
      <alignment horizontal="center" vertical="top" wrapText="1"/>
    </xf>
    <xf numFmtId="0" fontId="49" fillId="0" borderId="10" xfId="4" applyFont="1" applyBorder="1"/>
    <xf numFmtId="3" fontId="49" fillId="0" borderId="9" xfId="4" applyNumberFormat="1" applyFont="1" applyBorder="1" applyAlignment="1">
      <alignment horizontal="right"/>
    </xf>
    <xf numFmtId="0" fontId="49" fillId="0" borderId="9" xfId="4" applyFont="1" applyBorder="1" applyAlignment="1">
      <alignment horizontal="right" vertical="top" wrapText="1"/>
    </xf>
    <xf numFmtId="0" fontId="49" fillId="0" borderId="9" xfId="4" applyFont="1" applyBorder="1" applyAlignment="1">
      <alignment horizontal="center" vertical="top" wrapText="1"/>
    </xf>
    <xf numFmtId="0" fontId="48" fillId="0" borderId="10" xfId="4" applyFont="1" applyBorder="1"/>
    <xf numFmtId="3" fontId="48" fillId="0" borderId="9" xfId="4" applyNumberFormat="1" applyFont="1" applyBorder="1" applyAlignment="1">
      <alignment horizontal="right"/>
    </xf>
    <xf numFmtId="3" fontId="48" fillId="0" borderId="9" xfId="4" applyNumberFormat="1" applyFont="1" applyBorder="1" applyAlignment="1">
      <alignment horizontal="right" vertical="top" wrapText="1"/>
    </xf>
    <xf numFmtId="0" fontId="48" fillId="0" borderId="9" xfId="4" applyFont="1" applyBorder="1" applyAlignment="1">
      <alignment horizontal="center" vertical="top" wrapText="1"/>
    </xf>
    <xf numFmtId="0" fontId="45" fillId="0" borderId="47" xfId="0" applyFont="1" applyBorder="1" applyAlignment="1">
      <alignment horizontal="justify"/>
    </xf>
    <xf numFmtId="3" fontId="45" fillId="0" borderId="10" xfId="0" applyNumberFormat="1" applyFont="1" applyBorder="1" applyAlignment="1">
      <alignment horizontal="right" wrapText="1"/>
    </xf>
    <xf numFmtId="3" fontId="45" fillId="0" borderId="9" xfId="0" applyNumberFormat="1" applyFont="1" applyBorder="1" applyAlignment="1">
      <alignment horizontal="right"/>
    </xf>
    <xf numFmtId="9" fontId="45" fillId="0" borderId="9" xfId="0" applyNumberFormat="1" applyFont="1" applyBorder="1" applyAlignment="1">
      <alignment horizontal="right" vertical="top" wrapText="1"/>
    </xf>
    <xf numFmtId="0" fontId="50" fillId="0" borderId="47" xfId="0" applyFont="1" applyBorder="1" applyAlignment="1">
      <alignment horizontal="justify"/>
    </xf>
    <xf numFmtId="0" fontId="9" fillId="0" borderId="0" xfId="0" applyFont="1"/>
    <xf numFmtId="0" fontId="9" fillId="0" borderId="43" xfId="0" applyFont="1" applyBorder="1" applyAlignment="1">
      <alignment horizontal="left"/>
    </xf>
    <xf numFmtId="3" fontId="9" fillId="0" borderId="48" xfId="0" applyNumberFormat="1" applyFont="1" applyBorder="1" applyAlignment="1">
      <alignment horizontal="center"/>
    </xf>
    <xf numFmtId="3" fontId="9" fillId="0" borderId="44" xfId="0" applyNumberFormat="1" applyFont="1" applyBorder="1" applyAlignment="1">
      <alignment horizontal="center"/>
    </xf>
    <xf numFmtId="0" fontId="9" fillId="0" borderId="11" xfId="0" applyFont="1" applyBorder="1"/>
    <xf numFmtId="3" fontId="6" fillId="0" borderId="3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9" fillId="0" borderId="19" xfId="0" applyFont="1" applyFill="1" applyBorder="1"/>
    <xf numFmtId="3" fontId="6" fillId="0" borderId="49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9" fillId="22" borderId="43" xfId="0" applyFont="1" applyFill="1" applyBorder="1" applyAlignment="1">
      <alignment horizontal="left"/>
    </xf>
    <xf numFmtId="3" fontId="9" fillId="22" borderId="48" xfId="0" applyNumberFormat="1" applyFont="1" applyFill="1" applyBorder="1" applyAlignment="1">
      <alignment horizontal="center"/>
    </xf>
    <xf numFmtId="3" fontId="9" fillId="22" borderId="44" xfId="0" applyNumberFormat="1" applyFont="1" applyFill="1" applyBorder="1" applyAlignment="1">
      <alignment horizontal="center"/>
    </xf>
    <xf numFmtId="0" fontId="9" fillId="22" borderId="11" xfId="0" applyFont="1" applyFill="1" applyBorder="1"/>
    <xf numFmtId="0" fontId="6" fillId="22" borderId="3" xfId="0" applyFont="1" applyFill="1" applyBorder="1"/>
    <xf numFmtId="165" fontId="6" fillId="22" borderId="3" xfId="0" applyNumberFormat="1" applyFont="1" applyFill="1" applyBorder="1"/>
    <xf numFmtId="3" fontId="6" fillId="22" borderId="3" xfId="1" applyNumberFormat="1" applyFont="1" applyFill="1" applyBorder="1"/>
    <xf numFmtId="4" fontId="6" fillId="22" borderId="3" xfId="0" applyNumberFormat="1" applyFont="1" applyFill="1" applyBorder="1"/>
    <xf numFmtId="0" fontId="9" fillId="22" borderId="19" xfId="0" applyFont="1" applyFill="1" applyBorder="1"/>
    <xf numFmtId="171" fontId="6" fillId="22" borderId="3" xfId="0" applyNumberFormat="1" applyFont="1" applyFill="1" applyBorder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3" fontId="9" fillId="0" borderId="0" xfId="0" quotePrefix="1" applyNumberFormat="1" applyFont="1" applyFill="1" applyAlignment="1">
      <alignment horizontal="center"/>
    </xf>
    <xf numFmtId="172" fontId="6" fillId="3" borderId="0" xfId="0" applyNumberFormat="1" applyFont="1" applyFill="1" applyAlignment="1">
      <alignment horizontal="center"/>
    </xf>
    <xf numFmtId="170" fontId="6" fillId="22" borderId="0" xfId="1" applyNumberFormat="1" applyFont="1" applyFill="1" applyAlignment="1">
      <alignment horizontal="center"/>
    </xf>
    <xf numFmtId="172" fontId="6" fillId="22" borderId="0" xfId="0" applyNumberFormat="1" applyFont="1" applyFill="1"/>
    <xf numFmtId="10" fontId="6" fillId="0" borderId="0" xfId="0" applyNumberFormat="1" applyFont="1" applyFill="1"/>
    <xf numFmtId="0" fontId="9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48" fillId="18" borderId="26" xfId="4" applyFont="1" applyFill="1" applyBorder="1" applyAlignment="1">
      <alignment horizontal="center"/>
    </xf>
    <xf numFmtId="0" fontId="48" fillId="18" borderId="10" xfId="4" applyFont="1" applyFill="1" applyBorder="1" applyAlignment="1">
      <alignment horizontal="center"/>
    </xf>
    <xf numFmtId="0" fontId="48" fillId="18" borderId="26" xfId="4" applyFont="1" applyFill="1" applyBorder="1" applyAlignment="1">
      <alignment horizontal="center" vertical="center" wrapText="1"/>
    </xf>
    <xf numFmtId="0" fontId="48" fillId="18" borderId="10" xfId="4" applyFont="1" applyFill="1" applyBorder="1" applyAlignment="1">
      <alignment horizontal="center" vertical="center" wrapText="1"/>
    </xf>
    <xf numFmtId="0" fontId="48" fillId="18" borderId="26" xfId="4" applyFont="1" applyFill="1" applyBorder="1" applyAlignment="1">
      <alignment horizontal="center" vertical="center"/>
    </xf>
    <xf numFmtId="0" fontId="48" fillId="18" borderId="10" xfId="4" applyFont="1" applyFill="1" applyBorder="1" applyAlignment="1">
      <alignment horizontal="center" vertical="center"/>
    </xf>
    <xf numFmtId="0" fontId="48" fillId="18" borderId="26" xfId="4" applyFont="1" applyFill="1" applyBorder="1" applyAlignment="1">
      <alignment horizontal="center" vertical="top" wrapText="1"/>
    </xf>
    <xf numFmtId="0" fontId="48" fillId="18" borderId="10" xfId="4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3" fillId="0" borderId="26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8" xfId="0" quotePrefix="1" applyNumberFormat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64" fontId="11" fillId="2" borderId="13" xfId="0" quotePrefix="1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Euro" xfId="5"/>
    <cellStyle name="Moneda" xfId="1" builtinId="4"/>
    <cellStyle name="Normal" xfId="0" builtinId="0"/>
    <cellStyle name="Normal 2" xfId="4"/>
    <cellStyle name="Normal_2GPROPIO" xfId="2"/>
    <cellStyle name="Porcentual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99"/>
      <color rgb="FF00FFFF"/>
      <color rgb="FF0000FF"/>
      <color rgb="FFFF0000"/>
      <color rgb="FF336699"/>
      <color rgb="FF99FF33"/>
      <color rgb="FFCC0000"/>
      <color rgb="FFFF66FF"/>
      <color rgb="FFFF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9" Type="http://schemas.openxmlformats.org/officeDocument/2006/relationships/chartsheet" Target="chartsheets/sheet36.xml"/><Relationship Id="rId21" Type="http://schemas.openxmlformats.org/officeDocument/2006/relationships/chartsheet" Target="chartsheets/sheet20.xml"/><Relationship Id="rId34" Type="http://schemas.openxmlformats.org/officeDocument/2006/relationships/chartsheet" Target="chartsheets/sheet33.xml"/><Relationship Id="rId42" Type="http://schemas.openxmlformats.org/officeDocument/2006/relationships/chartsheet" Target="chartsheets/sheet39.xml"/><Relationship Id="rId47" Type="http://schemas.openxmlformats.org/officeDocument/2006/relationships/chartsheet" Target="chartsheets/sheet44.xml"/><Relationship Id="rId50" Type="http://schemas.openxmlformats.org/officeDocument/2006/relationships/chartsheet" Target="chartsheets/sheet45.xml"/><Relationship Id="rId55" Type="http://schemas.openxmlformats.org/officeDocument/2006/relationships/worksheet" Target="worksheets/sheet6.xml"/><Relationship Id="rId63" Type="http://schemas.openxmlformats.org/officeDocument/2006/relationships/styles" Target="styles.xml"/><Relationship Id="rId7" Type="http://schemas.openxmlformats.org/officeDocument/2006/relationships/chartsheet" Target="chartsheets/sheet7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41" Type="http://schemas.openxmlformats.org/officeDocument/2006/relationships/chartsheet" Target="chartsheets/sheet38.xml"/><Relationship Id="rId54" Type="http://schemas.openxmlformats.org/officeDocument/2006/relationships/chartsheet" Target="chartsheets/sheet49.xml"/><Relationship Id="rId62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chartsheet" Target="chartsheets/sheet31.xml"/><Relationship Id="rId37" Type="http://schemas.openxmlformats.org/officeDocument/2006/relationships/worksheet" Target="worksheets/sheet2.xml"/><Relationship Id="rId40" Type="http://schemas.openxmlformats.org/officeDocument/2006/relationships/chartsheet" Target="chartsheets/sheet37.xml"/><Relationship Id="rId45" Type="http://schemas.openxmlformats.org/officeDocument/2006/relationships/chartsheet" Target="chartsheets/sheet42.xml"/><Relationship Id="rId53" Type="http://schemas.openxmlformats.org/officeDocument/2006/relationships/chartsheet" Target="chartsheets/sheet48.xml"/><Relationship Id="rId58" Type="http://schemas.openxmlformats.org/officeDocument/2006/relationships/chartsheet" Target="chartsheets/sheet52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chartsheet" Target="chartsheets/sheet35.xml"/><Relationship Id="rId49" Type="http://schemas.openxmlformats.org/officeDocument/2006/relationships/worksheet" Target="worksheets/sheet5.xml"/><Relationship Id="rId57" Type="http://schemas.openxmlformats.org/officeDocument/2006/relationships/chartsheet" Target="chartsheets/sheet51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.xml"/><Relationship Id="rId19" Type="http://schemas.openxmlformats.org/officeDocument/2006/relationships/chartsheet" Target="chartsheets/sheet18.xml"/><Relationship Id="rId31" Type="http://schemas.openxmlformats.org/officeDocument/2006/relationships/chartsheet" Target="chartsheets/sheet30.xml"/><Relationship Id="rId44" Type="http://schemas.openxmlformats.org/officeDocument/2006/relationships/chartsheet" Target="chartsheets/sheet41.xml"/><Relationship Id="rId52" Type="http://schemas.openxmlformats.org/officeDocument/2006/relationships/chartsheet" Target="chartsheets/sheet47.xml"/><Relationship Id="rId60" Type="http://schemas.openxmlformats.org/officeDocument/2006/relationships/worksheet" Target="worksheets/sheet8.xml"/><Relationship Id="rId65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chartsheet" Target="chartsheets/sheet34.xml"/><Relationship Id="rId43" Type="http://schemas.openxmlformats.org/officeDocument/2006/relationships/chartsheet" Target="chartsheets/sheet40.xml"/><Relationship Id="rId48" Type="http://schemas.openxmlformats.org/officeDocument/2006/relationships/worksheet" Target="worksheets/sheet4.xml"/><Relationship Id="rId56" Type="http://schemas.openxmlformats.org/officeDocument/2006/relationships/chartsheet" Target="chartsheets/sheet50.xml"/><Relationship Id="rId64" Type="http://schemas.openxmlformats.org/officeDocument/2006/relationships/sharedStrings" Target="sharedStrings.xml"/><Relationship Id="rId8" Type="http://schemas.openxmlformats.org/officeDocument/2006/relationships/chartsheet" Target="chartsheets/sheet8.xml"/><Relationship Id="rId51" Type="http://schemas.openxmlformats.org/officeDocument/2006/relationships/chartsheet" Target="chartsheets/sheet46.xml"/><Relationship Id="rId3" Type="http://schemas.openxmlformats.org/officeDocument/2006/relationships/chartsheet" Target="chartsheets/sheet3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hartsheet" Target="chartsheets/sheet32.xml"/><Relationship Id="rId38" Type="http://schemas.openxmlformats.org/officeDocument/2006/relationships/worksheet" Target="worksheets/sheet3.xml"/><Relationship Id="rId46" Type="http://schemas.openxmlformats.org/officeDocument/2006/relationships/chartsheet" Target="chartsheets/sheet43.xml"/><Relationship Id="rId59" Type="http://schemas.openxmlformats.org/officeDocument/2006/relationships/worksheet" Target="worksheets/sheet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'!$I$581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62E-3"/>
                  <c:y val="7.30849100632414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74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16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'!$L$581:$M$581</c:f>
            </c:numRef>
          </c:val>
        </c:ser>
        <c:ser>
          <c:idx val="2"/>
          <c:order val="1"/>
          <c:tx>
            <c:strRef>
              <c:f>'Datos '!$I$582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401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78E-4"/>
                  <c:y val="5.7494444515807325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91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358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'!$L$582:$M$582</c:f>
            </c:numRef>
          </c:val>
        </c:ser>
        <c:ser>
          <c:idx val="0"/>
          <c:order val="2"/>
          <c:tx>
            <c:strRef>
              <c:f>'Datos '!$I$583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'!$L$583:$M$583</c:f>
            </c:numRef>
          </c:val>
        </c:ser>
        <c:ser>
          <c:idx val="3"/>
          <c:order val="3"/>
          <c:tx>
            <c:strRef>
              <c:f>'Datos '!$I$584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'!$L$584:$M$584</c:f>
            </c:numRef>
          </c:val>
        </c:ser>
        <c:ser>
          <c:idx val="4"/>
          <c:order val="4"/>
          <c:tx>
            <c:strRef>
              <c:f>'Datos '!$I$585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'!$L$585:$M$585</c:f>
            </c:numRef>
          </c:val>
        </c:ser>
        <c:ser>
          <c:idx val="5"/>
          <c:order val="5"/>
          <c:tx>
            <c:strRef>
              <c:f>'Datos '!$I$586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'!$L$586:$M$586</c:f>
            </c:numRef>
          </c:val>
        </c:ser>
        <c:ser>
          <c:idx val="6"/>
          <c:order val="6"/>
          <c:tx>
            <c:strRef>
              <c:f>'Datos '!$I$587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'!$L$587:$M$587</c:f>
            </c:numRef>
          </c:val>
        </c:ser>
        <c:ser>
          <c:idx val="7"/>
          <c:order val="7"/>
          <c:tx>
            <c:strRef>
              <c:f>'Datos '!$I$588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'!$L$588:$M$588</c:f>
            </c:numRef>
          </c:val>
        </c:ser>
        <c:ser>
          <c:idx val="8"/>
          <c:order val="8"/>
          <c:tx>
            <c:strRef>
              <c:f>'Datos '!$I$589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'!$L$589:$M$589</c:f>
            </c:numRef>
          </c:val>
        </c:ser>
        <c:ser>
          <c:idx val="9"/>
          <c:order val="9"/>
          <c:tx>
            <c:strRef>
              <c:f>'Datos '!$I$590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'!$L$590:$M$590</c:f>
            </c:numRef>
          </c:val>
        </c:ser>
        <c:ser>
          <c:idx val="10"/>
          <c:order val="10"/>
          <c:tx>
            <c:strRef>
              <c:f>'Datos '!$I$591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'!$L$591:$M$591</c:f>
            </c:numRef>
          </c:val>
        </c:ser>
        <c:ser>
          <c:idx val="11"/>
          <c:order val="11"/>
          <c:tx>
            <c:strRef>
              <c:f>'Datos '!$I$592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'!$L$592:$M$592</c:f>
            </c:numRef>
          </c:val>
        </c:ser>
        <c:ser>
          <c:idx val="12"/>
          <c:order val="12"/>
          <c:tx>
            <c:strRef>
              <c:f>'Datos '!$I$593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'!$L$593:$M$593</c:f>
            </c:numRef>
          </c:val>
        </c:ser>
        <c:ser>
          <c:idx val="13"/>
          <c:order val="13"/>
          <c:tx>
            <c:strRef>
              <c:f>'Datos '!$I$594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'!$L$594:$M$594</c:f>
            </c:numRef>
          </c:val>
        </c:ser>
        <c:ser>
          <c:idx val="14"/>
          <c:order val="14"/>
          <c:tx>
            <c:strRef>
              <c:f>'Datos '!$I$595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'!$L$595:$M$595</c:f>
            </c:numRef>
          </c:val>
        </c:ser>
        <c:ser>
          <c:idx val="15"/>
          <c:order val="15"/>
          <c:tx>
            <c:strRef>
              <c:f>'Datos '!$I$596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'!$L$596:$M$596</c:f>
            </c:numRef>
          </c:val>
        </c:ser>
        <c:ser>
          <c:idx val="16"/>
          <c:order val="16"/>
          <c:tx>
            <c:strRef>
              <c:f>'Datos '!$I$597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'!$L$597:$M$597</c:f>
            </c:numRef>
          </c:val>
        </c:ser>
        <c:ser>
          <c:idx val="17"/>
          <c:order val="17"/>
          <c:tx>
            <c:strRef>
              <c:f>'Datos '!$I$598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'!$L$598:$M$598</c:f>
            </c:numRef>
          </c:val>
        </c:ser>
        <c:ser>
          <c:idx val="18"/>
          <c:order val="18"/>
          <c:tx>
            <c:strRef>
              <c:f>'Datos '!$I$599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'!$L$599:$M$599</c:f>
            </c:numRef>
          </c:val>
        </c:ser>
        <c:ser>
          <c:idx val="19"/>
          <c:order val="19"/>
          <c:tx>
            <c:strRef>
              <c:f>'Datos '!$I$600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'!$L$600:$M$600</c:f>
            </c:numRef>
          </c:val>
        </c:ser>
        <c:ser>
          <c:idx val="20"/>
          <c:order val="20"/>
          <c:tx>
            <c:strRef>
              <c:f>'Datos '!$I$601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'!$L$601:$M$601</c:f>
            </c:numRef>
          </c:val>
        </c:ser>
        <c:ser>
          <c:idx val="21"/>
          <c:order val="21"/>
          <c:tx>
            <c:strRef>
              <c:f>'Datos '!$I$602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'!$L$602:$M$602</c:f>
            </c:numRef>
          </c:val>
        </c:ser>
        <c:ser>
          <c:idx val="22"/>
          <c:order val="22"/>
          <c:tx>
            <c:strRef>
              <c:f>'Datos '!$I$603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'!$L$603:$M$603</c:f>
            </c:numRef>
          </c:val>
        </c:ser>
        <c:ser>
          <c:idx val="23"/>
          <c:order val="23"/>
          <c:tx>
            <c:strRef>
              <c:f>'Datos '!$I$604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'!$L$604:$M$604</c:f>
            </c:numRef>
          </c:val>
        </c:ser>
        <c:ser>
          <c:idx val="24"/>
          <c:order val="24"/>
          <c:tx>
            <c:strRef>
              <c:f>'Datos '!$I$605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'!$L$605:$M$605</c:f>
            </c:numRef>
          </c:val>
        </c:ser>
        <c:ser>
          <c:idx val="25"/>
          <c:order val="25"/>
          <c:tx>
            <c:strRef>
              <c:f>'Datos '!$I$606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'!$L$606:$M$606</c:f>
            </c:numRef>
          </c:val>
        </c:ser>
        <c:ser>
          <c:idx val="26"/>
          <c:order val="26"/>
          <c:tx>
            <c:strRef>
              <c:f>'Datos '!$I$607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'!$L$607:$M$607</c:f>
            </c:numRef>
          </c:val>
        </c:ser>
        <c:ser>
          <c:idx val="27"/>
          <c:order val="27"/>
          <c:tx>
            <c:strRef>
              <c:f>'Datos '!$I$608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'!$L$608:$M$608</c:f>
            </c:numRef>
          </c:val>
        </c:ser>
        <c:ser>
          <c:idx val="28"/>
          <c:order val="28"/>
          <c:tx>
            <c:strRef>
              <c:f>'Datos '!$I$609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'!$L$609:$M$609</c:f>
            </c:numRef>
          </c:val>
        </c:ser>
        <c:ser>
          <c:idx val="29"/>
          <c:order val="29"/>
          <c:tx>
            <c:strRef>
              <c:f>'Datos '!$I$610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'!$L$610:$M$610</c:f>
            </c:numRef>
          </c:val>
        </c:ser>
        <c:ser>
          <c:idx val="30"/>
          <c:order val="30"/>
          <c:tx>
            <c:strRef>
              <c:f>'Datos '!$I$611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'!$L$611:$M$611</c:f>
            </c:numRef>
          </c:val>
        </c:ser>
        <c:ser>
          <c:idx val="31"/>
          <c:order val="31"/>
          <c:tx>
            <c:strRef>
              <c:f>'Datos '!$I$612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'!$L$612:$M$612</c:f>
            </c:numRef>
          </c:val>
        </c:ser>
        <c:ser>
          <c:idx val="32"/>
          <c:order val="32"/>
          <c:tx>
            <c:strRef>
              <c:f>'Datos '!$I$613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multiLvlStrRef>
              <c:f>'Datos '!$L$580:$M$580</c:f>
            </c:multiLvlStrRef>
          </c:cat>
          <c:val>
            <c:numRef>
              <c:f>'Datos '!$L$613:$M$613</c:f>
            </c:numRef>
          </c:val>
        </c:ser>
        <c:ser>
          <c:idx val="33"/>
          <c:order val="33"/>
          <c:tx>
            <c:strRef>
              <c:f>'Datos '!$I$614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multiLvlStrRef>
              <c:f>'Datos '!$L$580:$M$580</c:f>
            </c:multiLvlStrRef>
          </c:cat>
          <c:val>
            <c:numRef>
              <c:f>'Datos '!$L$614:$M$614</c:f>
            </c:numRef>
          </c:val>
        </c:ser>
        <c:dLbls>
          <c:showVal val="1"/>
        </c:dLbls>
        <c:axId val="76822400"/>
        <c:axId val="76823936"/>
      </c:barChart>
      <c:catAx>
        <c:axId val="7682240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76823936"/>
        <c:crosses val="autoZero"/>
        <c:lblAlgn val="ctr"/>
        <c:lblOffset val="100"/>
        <c:tickLblSkip val="1"/>
        <c:tickMarkSkip val="1"/>
      </c:catAx>
      <c:valAx>
        <c:axId val="768239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76822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902"/>
          <c:y val="1.468189233278956E-2"/>
          <c:w val="0.76524969339989268"/>
          <c:h val="0.17703630439343757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9.2726645984144374E-2"/>
          <c:y val="0.23502824858757204"/>
          <c:w val="0.8345398138572907"/>
          <c:h val="0.67175141242940795"/>
        </c:manualLayout>
      </c:layout>
      <c:barChart>
        <c:barDir val="col"/>
        <c:grouping val="clustered"/>
        <c:ser>
          <c:idx val="0"/>
          <c:order val="0"/>
          <c:tx>
            <c:strRef>
              <c:f>'Datos '!$I$12</c:f>
              <c:strCache>
                <c:ptCount val="1"/>
                <c:pt idx="0">
                  <c:v>Apoyo Área Sustantiva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1.4752636318582707E-3"/>
                  <c:y val="8.44498114162791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30144220617545E-3"/>
                  <c:y val="7.87790561765634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4542854459798278E-3"/>
                  <c:y val="2.369273537145135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5572854323923219E-3"/>
                  <c:y val="5.551688242359538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58083419510526E-3"/>
                  <c:y val="5.5516882423595384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'!$P$11:$R$11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'!$P$12:$R$12</c:f>
              <c:numCache>
                <c:formatCode>#,##0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</c:ser>
        <c:ser>
          <c:idx val="4"/>
          <c:order val="1"/>
          <c:tx>
            <c:strRef>
              <c:f>'Datos '!$I$13</c:f>
              <c:strCache>
                <c:ptCount val="1"/>
                <c:pt idx="0">
                  <c:v>Administrativo</c:v>
                </c:pt>
              </c:strCache>
            </c:strRef>
          </c:tx>
          <c:spPr>
            <a:ln>
              <a:noFill/>
            </a:ln>
          </c:spPr>
          <c:dLbls>
            <c:dLbl>
              <c:idx val="0"/>
              <c:layout>
                <c:manualLayout>
                  <c:x val="-2.7577783387211213E-3"/>
                  <c:y val="2.2598870056497202E-3"/>
                </c:manualLayout>
              </c:layout>
              <c:showVal val="1"/>
            </c:dLbl>
            <c:dLbl>
              <c:idx val="1"/>
              <c:layout>
                <c:manualLayout>
                  <c:x val="-4.1365046535677364E-3"/>
                  <c:y val="2.2598870056497202E-3"/>
                </c:manualLayout>
              </c:layout>
              <c:showVal val="1"/>
            </c:dLbl>
            <c:dLbl>
              <c:idx val="2"/>
              <c:layout>
                <c:manualLayout>
                  <c:x val="-2.7576697690451612E-3"/>
                  <c:y val="-2.2598870056497202E-3"/>
                </c:manualLayout>
              </c:layout>
              <c:showVal val="1"/>
            </c:dLbl>
            <c:dLbl>
              <c:idx val="3"/>
              <c:layout>
                <c:manualLayout>
                  <c:x val="-1.3788348845225821E-3"/>
                  <c:y val="-6.7796610169492148E-3"/>
                </c:manualLayout>
              </c:layout>
              <c:showVal val="1"/>
            </c:dLbl>
            <c:dLbl>
              <c:idx val="4"/>
              <c:layout>
                <c:manualLayout>
                  <c:x val="-1.3788348845225821E-3"/>
                  <c:y val="-9.0395480225988704E-3"/>
                </c:manualLayout>
              </c:layout>
              <c:showVal val="1"/>
            </c:dLbl>
            <c:showVal val="1"/>
          </c:dLbls>
          <c:cat>
            <c:numRef>
              <c:f>'Datos '!$P$11:$R$11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'!$P$13:$R$13</c:f>
              <c:numCache>
                <c:formatCode>#,##0</c:formatCode>
                <c:ptCount val="3"/>
                <c:pt idx="0">
                  <c:v>40</c:v>
                </c:pt>
                <c:pt idx="1">
                  <c:v>42</c:v>
                </c:pt>
                <c:pt idx="2">
                  <c:v>40</c:v>
                </c:pt>
              </c:numCache>
            </c:numRef>
          </c:val>
        </c:ser>
        <c:ser>
          <c:idx val="1"/>
          <c:order val="2"/>
          <c:tx>
            <c:strRef>
              <c:f>'Datos '!$I$14</c:f>
              <c:strCache>
                <c:ptCount val="1"/>
                <c:pt idx="0">
                  <c:v>Científico y Tecnológico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1.5851172688213246E-4"/>
                  <c:y val="-4.56781885315178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483971044628E-3"/>
                  <c:y val="8.221006272521424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84E-4"/>
                  <c:y val="1.77961653098452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903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632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'!$P$11:$R$11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'!$P$14:$R$14</c:f>
              <c:numCache>
                <c:formatCode>#,##0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</c:ser>
        <c:dLbls>
          <c:showVal val="1"/>
        </c:dLbls>
        <c:axId val="113101824"/>
        <c:axId val="113206016"/>
      </c:barChart>
      <c:lineChart>
        <c:grouping val="standard"/>
        <c:ser>
          <c:idx val="3"/>
          <c:order val="3"/>
          <c:tx>
            <c:strRef>
              <c:f>'Datos '!$I$15</c:f>
              <c:strCache>
                <c:ptCount val="1"/>
                <c:pt idx="0">
                  <c:v>Total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124714546963601E-2"/>
                  <c:y val="-5.0061036169641367E-2"/>
                </c:manualLayout>
              </c:layout>
              <c:showVal val="1"/>
            </c:dLbl>
            <c:dLbl>
              <c:idx val="1"/>
              <c:layout>
                <c:manualLayout>
                  <c:x val="-3.6434636614959937E-2"/>
                  <c:y val="-4.2559284723998704E-2"/>
                </c:manualLayout>
              </c:layout>
              <c:showVal val="1"/>
            </c:dLbl>
            <c:dLbl>
              <c:idx val="2"/>
              <c:layout>
                <c:manualLayout>
                  <c:x val="-3.9812793832748807E-2"/>
                  <c:y val="-4.2601593180019097E-2"/>
                </c:manualLayout>
              </c:layout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'!$P$11:$R$11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'!$P$15:$R$15</c:f>
              <c:numCache>
                <c:formatCode>#,##0</c:formatCode>
                <c:ptCount val="3"/>
                <c:pt idx="0">
                  <c:v>151</c:v>
                </c:pt>
                <c:pt idx="1">
                  <c:v>181</c:v>
                </c:pt>
                <c:pt idx="2">
                  <c:v>195</c:v>
                </c:pt>
              </c:numCache>
            </c:numRef>
          </c:val>
        </c:ser>
        <c:marker val="1"/>
        <c:axId val="113101824"/>
        <c:axId val="113206016"/>
      </c:lineChart>
      <c:catAx>
        <c:axId val="1131018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3206016"/>
        <c:crosses val="autoZero"/>
        <c:lblAlgn val="ctr"/>
        <c:lblOffset val="100"/>
        <c:tickLblSkip val="1"/>
        <c:tickMarkSkip val="1"/>
      </c:catAx>
      <c:valAx>
        <c:axId val="113206016"/>
        <c:scaling>
          <c:orientation val="minMax"/>
          <c:max val="21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Personas</a:t>
                </a:r>
              </a:p>
            </c:rich>
          </c:tx>
          <c:layout>
            <c:manualLayout>
              <c:xMode val="edge"/>
              <c:yMode val="edge"/>
              <c:x val="0"/>
              <c:y val="0.42927492728011957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/>
            </a:pPr>
            <a:endParaRPr lang="es-MX"/>
          </a:p>
        </c:txPr>
        <c:crossAx val="113101824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763690210921784E-3"/>
          <c:y val="8.4745762711866852E-3"/>
          <c:w val="0.99723630978907718"/>
          <c:h val="0.17995137371823616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  <a:scene3d>
      <a:camera prst="orthographicFront"/>
      <a:lightRig rig="threePt" dir="t"/>
    </a:scene3d>
    <a:sp3d>
      <a:bevelT w="6350"/>
    </a:sp3d>
  </c:spPr>
  <c:txPr>
    <a:bodyPr/>
    <a:lstStyle/>
    <a:p>
      <a:pPr>
        <a:defRPr sz="2000" b="1" i="0" u="none" strike="noStrike" baseline="0">
          <a:solidFill>
            <a:srgbClr val="000000"/>
          </a:solidFill>
          <a:latin typeface="Arial" pitchFamily="34" charset="0"/>
          <a:ea typeface="Batang" pitchFamily="18" charset="-127"/>
          <a:cs typeface="Arial" pitchFamily="34" charset="0"/>
        </a:defRPr>
      </a:pPr>
      <a:endParaRPr lang="es-MX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5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'!$I$21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3.8464115403998597E-4"/>
                  <c:y val="1.0176362538695673E-2"/>
                </c:manualLayout>
              </c:layout>
              <c:showVal val="1"/>
            </c:dLbl>
            <c:dLbl>
              <c:idx val="1"/>
              <c:layout>
                <c:manualLayout>
                  <c:x val="-1.0951960638660473E-3"/>
                  <c:y val="6.5718701964864569E-3"/>
                </c:manualLayout>
              </c:layout>
              <c:showVal val="1"/>
            </c:dLbl>
            <c:dLbl>
              <c:idx val="2"/>
              <c:layout>
                <c:manualLayout>
                  <c:x val="1.1246762856085841E-3"/>
                  <c:y val="5.8571716055884505E-3"/>
                </c:manualLayout>
              </c:layout>
              <c:showVal val="1"/>
            </c:dLbl>
            <c:dLbl>
              <c:idx val="3"/>
              <c:layout>
                <c:manualLayout>
                  <c:x val="-1.8349981502035458E-3"/>
                  <c:y val="1.3516418114946141E-3"/>
                </c:manualLayout>
              </c:layout>
              <c:showVal val="1"/>
            </c:dLbl>
            <c:dLbl>
              <c:idx val="4"/>
              <c:layout>
                <c:manualLayout>
                  <c:x val="3.8475767665563626E-4"/>
                  <c:y val="-4.8007946804365913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'!$P$21:$R$21</c:f>
              <c:numCache>
                <c:formatCode>#,##0</c:formatCode>
                <c:ptCount val="3"/>
                <c:pt idx="0" formatCode="General">
                  <c:v>26</c:v>
                </c:pt>
                <c:pt idx="1">
                  <c:v>39</c:v>
                </c:pt>
                <c:pt idx="2">
                  <c:v>45</c:v>
                </c:pt>
              </c:numCache>
            </c:numRef>
          </c:val>
        </c:ser>
        <c:ser>
          <c:idx val="1"/>
          <c:order val="1"/>
          <c:tx>
            <c:strRef>
              <c:f>'Datos '!$I$22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solidFill>
              <a:srgbClr val="99FF33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1.0210876803551608E-3"/>
                  <c:y val="3.3869828261679476E-3"/>
                </c:manualLayout>
              </c:layout>
              <c:showVal val="1"/>
            </c:dLbl>
            <c:dLbl>
              <c:idx val="1"/>
              <c:layout>
                <c:manualLayout>
                  <c:x val="-2.1383065185664393E-3"/>
                  <c:y val="7.892512620261782E-3"/>
                </c:manualLayout>
              </c:layout>
              <c:showVal val="1"/>
            </c:dLbl>
            <c:dLbl>
              <c:idx val="2"/>
              <c:layout>
                <c:manualLayout>
                  <c:x val="-2.1383065185664393E-3"/>
                  <c:y val="8.0634374210564724E-3"/>
                </c:manualLayout>
              </c:layout>
              <c:showVal val="1"/>
            </c:dLbl>
            <c:dLbl>
              <c:idx val="3"/>
              <c:layout>
                <c:manualLayout>
                  <c:x val="2.3012051351516609E-3"/>
                  <c:y val="4.4589450788471985E-3"/>
                </c:manualLayout>
              </c:layout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'!$P$22:$R$22</c:f>
              <c:numCache>
                <c:formatCode>#,##0</c:formatCode>
                <c:ptCount val="3"/>
                <c:pt idx="0" formatCode="General">
                  <c:v>9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</c:ser>
        <c:ser>
          <c:idx val="3"/>
          <c:order val="2"/>
          <c:tx>
            <c:strRef>
              <c:f>'Datos '!$I$24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 prstMaterial="dkEdge"/>
          </c:spPr>
          <c:dLbls>
            <c:dLbl>
              <c:idx val="0"/>
              <c:layout>
                <c:manualLayout>
                  <c:x val="-8.733370037957252E-4"/>
                  <c:y val="3.7754171430040263E-3"/>
                </c:manualLayout>
              </c:layout>
              <c:showVal val="1"/>
            </c:dLbl>
            <c:dLbl>
              <c:idx val="1"/>
              <c:layout>
                <c:manualLayout>
                  <c:x val="1.3466518682944881E-3"/>
                  <c:y val="1.1046400602861071E-2"/>
                </c:manualLayout>
              </c:layout>
              <c:showVal val="1"/>
            </c:dLbl>
            <c:dLbl>
              <c:idx val="2"/>
              <c:layout>
                <c:manualLayout>
                  <c:x val="6.0673325934147465E-4"/>
                  <c:y val="1.5256665510612161E-2"/>
                </c:manualLayout>
              </c:layout>
              <c:showVal val="1"/>
            </c:dLbl>
            <c:dLbl>
              <c:idx val="3"/>
              <c:layout>
                <c:manualLayout>
                  <c:x val="-1.6130225675175785E-3"/>
                  <c:y val="1.3827439596151661E-2"/>
                </c:manualLayout>
              </c:layout>
              <c:showVal val="1"/>
            </c:dLbl>
            <c:dLbl>
              <c:idx val="4"/>
              <c:layout>
                <c:manualLayout>
                  <c:x val="2.0863374320164575E-3"/>
                  <c:y val="1.0580210915723622E-2"/>
                </c:manualLayout>
              </c:layout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B h="12700"/>
              </a:sp3d>
            </c:spPr>
            <c:txPr>
              <a:bodyPr rot="0"/>
              <a:lstStyle/>
              <a:p>
                <a:pPr>
                  <a:defRPr/>
                </a:pPr>
                <a:endParaRPr lang="es-MX"/>
              </a:p>
            </c:txPr>
            <c:showVal val="1"/>
          </c:dLbls>
          <c:cat>
            <c:strRef>
              <c:f>'Datos '!$P$20:$R$20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'!$P$24:$R$24</c:f>
              <c:numCache>
                <c:formatCode>#,##0</c:formatCode>
                <c:ptCount val="3"/>
                <c:pt idx="0" formatCode="General">
                  <c:v>50</c:v>
                </c:pt>
                <c:pt idx="1">
                  <c:v>69</c:v>
                </c:pt>
                <c:pt idx="2">
                  <c:v>76</c:v>
                </c:pt>
              </c:numCache>
            </c:numRef>
          </c:val>
        </c:ser>
        <c:ser>
          <c:idx val="4"/>
          <c:order val="3"/>
          <c:tx>
            <c:strRef>
              <c:f>'Datos '!$I$25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4.4987051424343442E-3"/>
                  <c:y val="2.3146780388177417E-3"/>
                </c:manualLayout>
              </c:layout>
              <c:showVal val="1"/>
            </c:dLbl>
            <c:dLbl>
              <c:idx val="1"/>
              <c:layout>
                <c:manualLayout>
                  <c:x val="6.8072512023677439E-4"/>
                  <c:y val="3.2626427406207045E-4"/>
                </c:manualLayout>
              </c:layout>
              <c:showVal val="1"/>
            </c:dLbl>
            <c:dLbl>
              <c:idx val="2"/>
              <c:layout>
                <c:manualLayout>
                  <c:x val="-7.9911209766925771E-4"/>
                  <c:y val="2.8586230962565251E-3"/>
                </c:manualLayout>
              </c:layout>
              <c:showVal val="1"/>
            </c:dLbl>
            <c:dLbl>
              <c:idx val="3"/>
              <c:layout>
                <c:manualLayout>
                  <c:x val="8.8198298187200062E-3"/>
                  <c:y val="-1.4915672245700167E-3"/>
                </c:manualLayout>
              </c:layout>
              <c:showVal val="1"/>
            </c:dLbl>
            <c:dLbl>
              <c:idx val="4"/>
              <c:layout>
                <c:manualLayout>
                  <c:x val="6.8072512023688498E-4"/>
                  <c:y val="1.5845653877278401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'!$P$25:$R$25</c:f>
              <c:numCache>
                <c:formatCode>#,##0</c:formatCode>
                <c:ptCount val="3"/>
                <c:pt idx="0" formatCode="General">
                  <c:v>12</c:v>
                </c:pt>
                <c:pt idx="1">
                  <c:v>13</c:v>
                </c:pt>
                <c:pt idx="2">
                  <c:v>15</c:v>
                </c:pt>
              </c:numCache>
            </c:numRef>
          </c:val>
        </c:ser>
        <c:dLbls>
          <c:showVal val="1"/>
        </c:dLbls>
        <c:axId val="113371392"/>
        <c:axId val="113422336"/>
      </c:barChart>
      <c:lineChart>
        <c:grouping val="standard"/>
        <c:ser>
          <c:idx val="5"/>
          <c:order val="4"/>
          <c:tx>
            <c:strRef>
              <c:f>'Datos '!$I$26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/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1076581576026652E-2"/>
                  <c:y val="-3.2626427406199046E-2"/>
                </c:manualLayout>
              </c:layout>
              <c:showVal val="1"/>
            </c:dLbl>
            <c:dLbl>
              <c:idx val="1"/>
              <c:layout>
                <c:manualLayout>
                  <c:x val="-3.4036256011838698E-2"/>
                  <c:y val="-4.3501903208265372E-2"/>
                </c:manualLayout>
              </c:layout>
              <c:showVal val="1"/>
            </c:dLbl>
            <c:dLbl>
              <c:idx val="2"/>
              <c:layout>
                <c:manualLayout>
                  <c:x val="-3.8475767665556847E-2"/>
                  <c:y val="-4.5676998368678626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'!$P$26:$R$26</c:f>
              <c:numCache>
                <c:formatCode>#,##0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</c:ser>
        <c:marker val="1"/>
        <c:axId val="113371392"/>
        <c:axId val="113422336"/>
      </c:lineChart>
      <c:catAx>
        <c:axId val="1133713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3422336"/>
        <c:crosses val="autoZero"/>
        <c:auto val="1"/>
        <c:lblAlgn val="ctr"/>
        <c:lblOffset val="100"/>
        <c:tickLblSkip val="1"/>
        <c:tickMarkSkip val="1"/>
      </c:catAx>
      <c:valAx>
        <c:axId val="113422336"/>
        <c:scaling>
          <c:orientation val="minMax"/>
          <c:max val="16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3371392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8094709581945989E-3"/>
          <c:y val="2.338227297444264E-2"/>
          <c:w val="0.98769684311103734"/>
          <c:h val="0.15262488600017984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  <a:scene3d>
      <a:camera prst="orthographicFront"/>
      <a:lightRig rig="threePt" dir="t"/>
    </a:scene3d>
    <a:sp3d/>
  </c:spPr>
  <c:txPr>
    <a:bodyPr/>
    <a:lstStyle/>
    <a:p>
      <a:pPr>
        <a:defRPr sz="2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'!$I$38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cat>
            <c:strRef>
              <c:f>'Datos '!$P$37:$R$37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'!$P$38:$R$38</c:f>
              <c:numCache>
                <c:formatCode>#,##0</c:formatCode>
                <c:ptCount val="3"/>
                <c:pt idx="0">
                  <c:v>40</c:v>
                </c:pt>
                <c:pt idx="1">
                  <c:v>59</c:v>
                </c:pt>
                <c:pt idx="2">
                  <c:v>61</c:v>
                </c:pt>
              </c:numCache>
            </c:numRef>
          </c:val>
        </c:ser>
        <c:ser>
          <c:idx val="1"/>
          <c:order val="1"/>
          <c:tx>
            <c:strRef>
              <c:f>'Datos '!$I$39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cat>
            <c:strRef>
              <c:f>'Datos '!$P$37:$R$37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'!$P$39:$R$39</c:f>
              <c:numCache>
                <c:formatCode>#,##0</c:formatCode>
                <c:ptCount val="3"/>
                <c:pt idx="0">
                  <c:v>15</c:v>
                </c:pt>
                <c:pt idx="1">
                  <c:v>24</c:v>
                </c:pt>
                <c:pt idx="2">
                  <c:v>32</c:v>
                </c:pt>
              </c:numCache>
            </c:numRef>
          </c:val>
        </c:ser>
        <c:ser>
          <c:idx val="2"/>
          <c:order val="2"/>
          <c:tx>
            <c:strRef>
              <c:f>'Datos '!$I$40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rgbClr val="99FF33"/>
            </a:solidFill>
            <a:ln w="25400">
              <a:noFill/>
            </a:ln>
          </c:spPr>
          <c:cat>
            <c:strRef>
              <c:f>'Datos '!$P$37:$R$37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'!$P$40:$R$40</c:f>
              <c:numCache>
                <c:formatCode>#,##0</c:formatCode>
                <c:ptCount val="3"/>
                <c:pt idx="0">
                  <c:v>35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</c:ser>
        <c:ser>
          <c:idx val="3"/>
          <c:order val="3"/>
          <c:tx>
            <c:strRef>
              <c:f>'Datos '!$I$41</c:f>
              <c:strCache>
                <c:ptCount val="1"/>
                <c:pt idx="0">
                  <c:v>Carrera Técnica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cat>
            <c:strRef>
              <c:f>'Datos '!$P$37:$R$37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'!$P$41:$R$41</c:f>
              <c:numCache>
                <c:formatCode>#,##0</c:formatCode>
                <c:ptCount val="3"/>
                <c:pt idx="0">
                  <c:v>7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114524544"/>
        <c:axId val="114526080"/>
        <c:axId val="0"/>
      </c:bar3DChart>
      <c:catAx>
        <c:axId val="11452454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4526080"/>
        <c:crosses val="autoZero"/>
        <c:auto val="1"/>
        <c:lblAlgn val="ctr"/>
        <c:lblOffset val="100"/>
        <c:tickLblSkip val="1"/>
        <c:tickMarkSkip val="1"/>
      </c:catAx>
      <c:valAx>
        <c:axId val="114526080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tickLblPos val="none"/>
        <c:crossAx val="114524544"/>
        <c:crosses val="autoZero"/>
        <c:crossBetween val="between"/>
      </c:valAx>
    </c:plotArea>
    <c:legend>
      <c:legendPos val="t"/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s-MX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50"/>
      <c:rotY val="30"/>
      <c:perspective val="130"/>
    </c:view3D>
    <c:plotArea>
      <c:layout>
        <c:manualLayout>
          <c:layoutTarget val="inner"/>
          <c:xMode val="edge"/>
          <c:yMode val="edge"/>
          <c:x val="4.9309160051627832E-2"/>
          <c:y val="0.21103688914478291"/>
          <c:w val="0.84275572457064563"/>
          <c:h val="0.78794812864843955"/>
        </c:manualLayout>
      </c:layout>
      <c:pie3DChart>
        <c:varyColors val="1"/>
        <c:ser>
          <c:idx val="0"/>
          <c:order val="0"/>
          <c:tx>
            <c:strRef>
              <c:f>'Datos '!$I$57</c:f>
              <c:strCache>
                <c:ptCount val="1"/>
                <c:pt idx="0">
                  <c:v>Investigadores en el SNI por niveles</c:v>
                </c:pt>
              </c:strCache>
            </c:strRef>
          </c:tx>
          <c:spPr>
            <a:effectLst>
              <a:outerShdw blurRad="38100" dist="508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b="100000"/>
                </a:path>
                <a:tileRect t="-100000" r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33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explosion val="10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99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50000" t="50000" r="50000" b="50000"/>
                </a:path>
                <a:tileRect/>
              </a:gradFill>
              <a:effectLst>
                <a:outerShdw blurRad="1143000" dist="2260600" dir="6000000" sx="162000" sy="162000" algn="ctr" rotWithShape="0">
                  <a:srgbClr val="000000">
                    <a:alpha val="81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Pt>
            <c:idx val="3"/>
            <c:explosion val="17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r="100000" b="100000"/>
                </a:path>
                <a:tileRect l="-100000" t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8.7938932989148205E-3"/>
                  <c:y val="-0.1091368449999001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7.6213626518504579E-2"/>
                  <c:y val="-0.28698948129603385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66528549455404E-2"/>
                  <c:y val="-0.18795805886005681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3"/>
              <c:layout>
                <c:manualLayout>
                  <c:x val="-7.7679390807080861E-2"/>
                  <c:y val="-7.2757896666599833E-2"/>
                </c:manualLayout>
              </c:layout>
              <c:dLblPos val="bestFit"/>
              <c:showVal val="1"/>
              <c:showCatName val="1"/>
              <c:separator>
</c:separator>
            </c:dLbl>
            <c:spPr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rot="0"/>
              <a:lstStyle/>
              <a:p>
                <a:pPr>
                  <a:defRPr sz="2400" b="1">
                    <a:solidFill>
                      <a:srgbClr val="0066CC"/>
                    </a:solidFill>
                  </a:defRPr>
                </a:pPr>
                <a:endParaRPr lang="es-MX"/>
              </a:p>
            </c:txPr>
            <c:dLblPos val="outEnd"/>
            <c:showVal val="1"/>
            <c:showCatName val="1"/>
            <c:separator>
</c:separator>
            <c:showLeaderLines val="1"/>
            <c:leaderLines>
              <c:spPr>
                <a:ln>
                  <a:solidFill>
                    <a:srgbClr val="006699"/>
                  </a:solidFill>
                </a:ln>
              </c:spPr>
            </c:leaderLines>
          </c:dLbls>
          <c:cat>
            <c:strRef>
              <c:f>'Datos '!$I$58:$I$62</c:f>
              <c:strCache>
                <c:ptCount val="5"/>
                <c:pt idx="0">
                  <c:v>Nivel III</c:v>
                </c:pt>
                <c:pt idx="1">
                  <c:v>Nivel II</c:v>
                </c:pt>
                <c:pt idx="2">
                  <c:v>Nivel I</c:v>
                </c:pt>
                <c:pt idx="3">
                  <c:v>Candidato</c:v>
                </c:pt>
                <c:pt idx="4">
                  <c:v>T o t a l</c:v>
                </c:pt>
              </c:strCache>
            </c:str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754912099276111"/>
          <c:y val="0.24745762711864408"/>
          <c:w val="0.78800413650465362"/>
          <c:h val="0.62881355932203387"/>
        </c:manualLayout>
      </c:layout>
      <c:barChart>
        <c:barDir val="col"/>
        <c:grouping val="clustered"/>
        <c:ser>
          <c:idx val="3"/>
          <c:order val="0"/>
          <c:tx>
            <c:strRef>
              <c:f>'Datos '!$I$61</c:f>
              <c:strCache>
                <c:ptCount val="1"/>
                <c:pt idx="0">
                  <c:v>Candidato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63E-3"/>
                  <c:y val="-2.575132345744960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814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'!$P$57:$R$57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'!$P$61:$R$61</c:f>
              <c:numCache>
                <c:formatCode>0</c:formatCode>
                <c:ptCount val="3"/>
                <c:pt idx="0" formatCode="General">
                  <c:v>6</c:v>
                </c:pt>
                <c:pt idx="1">
                  <c:v>5</c:v>
                </c:pt>
                <c:pt idx="2" formatCode="#,##0">
                  <c:v>4</c:v>
                </c:pt>
              </c:numCache>
            </c:numRef>
          </c:val>
        </c:ser>
        <c:ser>
          <c:idx val="2"/>
          <c:order val="1"/>
          <c:tx>
            <c:strRef>
              <c:f>'Datos '!$I$60</c:f>
              <c:strCache>
                <c:ptCount val="1"/>
                <c:pt idx="0">
                  <c:v>Nivel I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9.1697948304553364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79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667E-3"/>
                  <c:y val="-5.276747186262955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'!$P$57:$R$57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'!$P$60:$R$60</c:f>
              <c:numCache>
                <c:formatCode>0</c:formatCode>
                <c:ptCount val="3"/>
                <c:pt idx="0" formatCode="General">
                  <c:v>22</c:v>
                </c:pt>
                <c:pt idx="1">
                  <c:v>28</c:v>
                </c:pt>
                <c:pt idx="2" formatCode="#,##0">
                  <c:v>26</c:v>
                </c:pt>
              </c:numCache>
            </c:numRef>
          </c:val>
        </c:ser>
        <c:ser>
          <c:idx val="1"/>
          <c:order val="2"/>
          <c:tx>
            <c:strRef>
              <c:f>'Datos '!$I$59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953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89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'!$P$57:$R$57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'!$P$59:$R$59</c:f>
              <c:numCache>
                <c:formatCode>0</c:formatCode>
                <c:ptCount val="3"/>
                <c:pt idx="0" formatCode="General">
                  <c:v>5</c:v>
                </c:pt>
                <c:pt idx="1">
                  <c:v>7</c:v>
                </c:pt>
                <c:pt idx="2" formatCode="#,##0">
                  <c:v>16</c:v>
                </c:pt>
              </c:numCache>
            </c:numRef>
          </c:val>
        </c:ser>
        <c:ser>
          <c:idx val="0"/>
          <c:order val="3"/>
          <c:tx>
            <c:strRef>
              <c:f>'Datos '!$I$58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073960377496892E-3"/>
                  <c:y val="-4.42920058721478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6.8692033971455026E-4"/>
                  <c:y val="-2.734285332977468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89E-3"/>
                  <c:y val="-1.0225899728635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88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'!$P$57:$R$57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'!$P$58:$R$58</c:f>
              <c:numCache>
                <c:formatCode>0</c:formatCode>
                <c:ptCount val="3"/>
                <c:pt idx="0" formatCode="General">
                  <c:v>1</c:v>
                </c:pt>
                <c:pt idx="1">
                  <c:v>6</c:v>
                </c:pt>
                <c:pt idx="2" formatCode="#,##0">
                  <c:v>6</c:v>
                </c:pt>
              </c:numCache>
            </c:numRef>
          </c:val>
        </c:ser>
        <c:dLbls>
          <c:showVal val="1"/>
        </c:dLbls>
        <c:axId val="124799616"/>
        <c:axId val="124834176"/>
      </c:barChart>
      <c:lineChart>
        <c:grouping val="standard"/>
        <c:ser>
          <c:idx val="4"/>
          <c:order val="4"/>
          <c:tx>
            <c:strRef>
              <c:f>'Datos '!$I$62</c:f>
              <c:strCache>
                <c:ptCount val="1"/>
                <c:pt idx="0">
                  <c:v>T o t a 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675960649380541E-2"/>
                  <c:y val="-4.4270356691773455E-2"/>
                </c:manualLayout>
              </c:layout>
              <c:showVal val="1"/>
            </c:dLbl>
            <c:dLbl>
              <c:idx val="1"/>
              <c:layout>
                <c:manualLayout>
                  <c:x val="-3.3502209258316776E-2"/>
                  <c:y val="-4.2718964992726198E-2"/>
                </c:manualLayout>
              </c:layout>
              <c:showVal val="1"/>
            </c:dLbl>
            <c:dLbl>
              <c:idx val="2"/>
              <c:layout>
                <c:manualLayout>
                  <c:x val="-3.5294297694207041E-2"/>
                  <c:y val="-4.5704658862242724E-2"/>
                </c:manualLayout>
              </c:layout>
              <c:showVal val="1"/>
            </c:dLbl>
            <c:dLbl>
              <c:idx val="3"/>
              <c:layout>
                <c:manualLayout>
                  <c:x val="-2.1268799517949456E-4"/>
                  <c:y val="3.1656212464965745E-4"/>
                </c:manualLayout>
              </c:layout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'!$P$57:$R$57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'!$P$62:$R$62</c:f>
              <c:numCache>
                <c:formatCode>0</c:formatCode>
                <c:ptCount val="3"/>
                <c:pt idx="0" formatCode="General">
                  <c:v>34</c:v>
                </c:pt>
                <c:pt idx="1">
                  <c:v>46</c:v>
                </c:pt>
                <c:pt idx="2" formatCode="#,##0">
                  <c:v>52</c:v>
                </c:pt>
              </c:numCache>
            </c:numRef>
          </c:val>
        </c:ser>
        <c:marker val="1"/>
        <c:axId val="124799616"/>
        <c:axId val="124834176"/>
      </c:lineChart>
      <c:catAx>
        <c:axId val="124799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4834176"/>
        <c:crosses val="autoZero"/>
        <c:auto val="1"/>
        <c:lblAlgn val="ctr"/>
        <c:lblOffset val="100"/>
        <c:tickLblSkip val="1"/>
        <c:tickMarkSkip val="1"/>
      </c:catAx>
      <c:valAx>
        <c:axId val="1248341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Investigadores  en el  SNI</a:t>
                </a:r>
              </a:p>
            </c:rich>
          </c:tx>
          <c:layout>
            <c:manualLayout>
              <c:xMode val="edge"/>
              <c:yMode val="edge"/>
              <c:x val="3.1023784901758008E-3"/>
              <c:y val="0.184745762711867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479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5501551189245093E-2"/>
          <c:y val="8.3050847457628765E-2"/>
          <c:w val="0.87383660806619312"/>
          <c:h val="0.12542372881355607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s-MX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026292878205762"/>
          <c:y val="0.27090608454482307"/>
          <c:w val="0.77247502774694787"/>
          <c:h val="0.60565218331743131"/>
        </c:manualLayout>
      </c:layout>
      <c:barChart>
        <c:barDir val="col"/>
        <c:grouping val="clustered"/>
        <c:ser>
          <c:idx val="1"/>
          <c:order val="0"/>
          <c:tx>
            <c:strRef>
              <c:f>'Datos '!$I$87</c:f>
              <c:strCache>
                <c:ptCount val="1"/>
                <c:pt idx="0">
                  <c:v>FONCICYT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7259842519685041E-3"/>
                  <c:y val="2.119638797189504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3093030037911941E-3"/>
                  <c:y val="2.331702011963023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6486134674424324E-4"/>
                  <c:y val="7.99489392499998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9938137682318412E-4"/>
                  <c:y val="3.692565668787020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5184619265902473E-3"/>
                  <c:y val="4.2616430835723251E-3"/>
                </c:manualLayout>
              </c:layout>
              <c:dLblPos val="outEnd"/>
              <c:showVal val="1"/>
            </c:dLbl>
            <c:showVal val="1"/>
          </c:dLbls>
          <c:cat>
            <c:strRef>
              <c:f>'Datos '!$P$83:$R$83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'!$Q$87:$Q$87</c:f>
            </c:numRef>
          </c:val>
        </c:ser>
        <c:ser>
          <c:idx val="0"/>
          <c:order val="1"/>
          <c:tx>
            <c:strRef>
              <c:f>'Datos '!$I$86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effectLst/>
            <a:scene3d>
              <a:camera prst="orthographicFront"/>
              <a:lightRig rig="threePt" dir="t"/>
            </a:scene3d>
            <a:sp3d/>
          </c:spPr>
          <c:dLbls>
            <c:showVal val="1"/>
          </c:dLbls>
          <c:cat>
            <c:strRef>
              <c:f>'Datos '!$P$83:$R$83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'!$P$86:$R$86</c:f>
              <c:numCache>
                <c:formatCode>General</c:formatCode>
                <c:ptCount val="3"/>
                <c:pt idx="0" formatCode="#,##0">
                  <c:v>12</c:v>
                </c:pt>
                <c:pt idx="1">
                  <c:v>41</c:v>
                </c:pt>
                <c:pt idx="2" formatCode="#,##0">
                  <c:v>68</c:v>
                </c:pt>
              </c:numCache>
            </c:numRef>
          </c:val>
        </c:ser>
        <c:ser>
          <c:idx val="7"/>
          <c:order val="2"/>
          <c:tx>
            <c:strRef>
              <c:f>'Datos '!$I$85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B050"/>
            </a:solidFill>
            <a:effectLst/>
            <a:scene3d>
              <a:camera prst="orthographicFront"/>
              <a:lightRig rig="threePt" dir="t"/>
            </a:scene3d>
            <a:sp3d/>
          </c:spPr>
          <c:dLbls>
            <c:showVal val="1"/>
          </c:dLbls>
          <c:cat>
            <c:strRef>
              <c:f>'Datos '!$P$83:$R$83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'!$P$85:$R$85</c:f>
              <c:numCache>
                <c:formatCode>General</c:formatCode>
                <c:ptCount val="3"/>
                <c:pt idx="0" formatCode="#,##0">
                  <c:v>2</c:v>
                </c:pt>
                <c:pt idx="1">
                  <c:v>45</c:v>
                </c:pt>
                <c:pt idx="2" formatCode="#,##0">
                  <c:v>23</c:v>
                </c:pt>
              </c:numCache>
            </c:numRef>
          </c:val>
        </c:ser>
        <c:ser>
          <c:idx val="8"/>
          <c:order val="3"/>
          <c:tx>
            <c:strRef>
              <c:f>'Datos '!$I$84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showVal val="1"/>
          </c:dLbls>
          <c:cat>
            <c:strRef>
              <c:f>'Datos '!$P$83:$R$83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'!$P$84:$R$84</c:f>
              <c:numCache>
                <c:formatCode>General</c:formatCode>
                <c:ptCount val="3"/>
                <c:pt idx="0" formatCode="#,##0">
                  <c:v>23</c:v>
                </c:pt>
                <c:pt idx="1">
                  <c:v>19</c:v>
                </c:pt>
                <c:pt idx="2" formatCode="#,##0">
                  <c:v>11</c:v>
                </c:pt>
              </c:numCache>
            </c:numRef>
          </c:val>
        </c:ser>
        <c:axId val="110104960"/>
        <c:axId val="124967936"/>
      </c:barChart>
      <c:lineChart>
        <c:grouping val="standard"/>
        <c:ser>
          <c:idx val="5"/>
          <c:order val="4"/>
          <c:tx>
            <c:strRef>
              <c:f>'Datos '!$I$88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793930587284507E-2"/>
                  <c:y val="3.4938606589487296E-2"/>
                </c:manualLayout>
              </c:layout>
              <c:showVal val="1"/>
            </c:dLbl>
            <c:dLbl>
              <c:idx val="1"/>
              <c:layout>
                <c:manualLayout>
                  <c:x val="-3.3898539251004348E-2"/>
                  <c:y val="-3.9314408490806689E-2"/>
                </c:manualLayout>
              </c:layout>
              <c:showVal val="1"/>
            </c:dLbl>
            <c:dLbl>
              <c:idx val="2"/>
              <c:layout>
                <c:manualLayout>
                  <c:x val="-3.1026824612713291E-2"/>
                  <c:y val="-3.4984613451376455E-2"/>
                </c:manualLayout>
              </c:layout>
              <c:showVal val="1"/>
            </c:dLbl>
            <c:dLbl>
              <c:idx val="3"/>
              <c:layout>
                <c:manualLayout>
                  <c:x val="-2.6533319726503069E-2"/>
                  <c:y val="-3.4933628235029192E-2"/>
                </c:manualLayout>
              </c:layout>
              <c:showVal val="1"/>
            </c:dLbl>
            <c:dLbl>
              <c:idx val="4"/>
              <c:layout>
                <c:manualLayout>
                  <c:x val="-2.9482240357697111E-2"/>
                  <c:y val="-3.7098697422139913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/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'!$P$88:$R$88</c:f>
              <c:numCache>
                <c:formatCode>General</c:formatCode>
                <c:ptCount val="3"/>
                <c:pt idx="0" formatCode="#,##0">
                  <c:v>37</c:v>
                </c:pt>
                <c:pt idx="1">
                  <c:v>106</c:v>
                </c:pt>
                <c:pt idx="2" formatCode="#,##0">
                  <c:v>102</c:v>
                </c:pt>
              </c:numCache>
            </c:numRef>
          </c:val>
        </c:ser>
        <c:marker val="1"/>
        <c:axId val="110104960"/>
        <c:axId val="124967936"/>
      </c:lineChart>
      <c:lineChart>
        <c:grouping val="standard"/>
        <c:ser>
          <c:idx val="2"/>
          <c:order val="5"/>
          <c:tx>
            <c:strRef>
              <c:f>'Datos '!$I$90</c:f>
              <c:strCache>
                <c:ptCount val="1"/>
                <c:pt idx="0">
                  <c:v>Índice de Proyectos por Investigador</c:v>
                </c:pt>
              </c:strCache>
            </c:strRef>
          </c:tx>
          <c:spPr>
            <a:ln>
              <a:solidFill>
                <a:srgbClr val="003399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5401211681302176E-2"/>
                  <c:y val="-3.2651825219245471E-2"/>
                </c:manualLayout>
              </c:layout>
              <c:showVal val="1"/>
            </c:dLbl>
            <c:dLbl>
              <c:idx val="1"/>
              <c:layout>
                <c:manualLayout>
                  <c:x val="1.3313641011299778E-2"/>
                  <c:y val="-1.2877762220994767E-2"/>
                </c:manualLayout>
              </c:layout>
              <c:showVal val="1"/>
            </c:dLbl>
            <c:dLbl>
              <c:idx val="2"/>
              <c:layout>
                <c:manualLayout>
                  <c:x val="-2.5149658734389607E-2"/>
                  <c:y val="-4.7689732095070485E-2"/>
                </c:manualLayout>
              </c:layout>
              <c:showVal val="1"/>
            </c:dLbl>
            <c:dLbl>
              <c:idx val="3"/>
              <c:layout>
                <c:manualLayout>
                  <c:x val="-3.1123423667491063E-2"/>
                  <c:y val="-4.10981661550055E-2"/>
                </c:manualLayout>
              </c:layout>
              <c:showVal val="1"/>
            </c:dLbl>
            <c:dLbl>
              <c:idx val="4"/>
              <c:layout>
                <c:manualLayout>
                  <c:x val="-4.8883218121597183E-2"/>
                  <c:y val="-2.8088185551031243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/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'!$P$90:$R$90</c:f>
              <c:numCache>
                <c:formatCode>#,##0.0</c:formatCode>
                <c:ptCount val="3"/>
                <c:pt idx="0">
                  <c:v>1.0571428571428572</c:v>
                </c:pt>
                <c:pt idx="1">
                  <c:v>2.2083333333333335</c:v>
                </c:pt>
                <c:pt idx="2">
                  <c:v>1.9615384615384615</c:v>
                </c:pt>
              </c:numCache>
            </c:numRef>
          </c:val>
        </c:ser>
        <c:marker val="1"/>
        <c:axId val="110108032"/>
        <c:axId val="110130304"/>
      </c:lineChart>
      <c:catAx>
        <c:axId val="110104960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24967936"/>
        <c:crosses val="autoZero"/>
        <c:lblAlgn val="ctr"/>
        <c:lblOffset val="100"/>
        <c:tickLblSkip val="1"/>
        <c:tickMarkSkip val="1"/>
      </c:catAx>
      <c:valAx>
        <c:axId val="124967936"/>
        <c:scaling>
          <c:orientation val="minMax"/>
          <c:max val="15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Proyectos</a:t>
                </a:r>
              </a:p>
            </c:rich>
          </c:tx>
          <c:layout>
            <c:manualLayout>
              <c:xMode val="edge"/>
              <c:yMode val="edge"/>
              <c:x val="0"/>
              <c:y val="0.46275149537792282"/>
            </c:manualLayout>
          </c:layout>
        </c:title>
        <c:numFmt formatCode="#,##0" sourceLinked="1"/>
        <c:majorTickMark val="cross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10104960"/>
        <c:crosses val="autoZero"/>
        <c:crossBetween val="between"/>
        <c:majorUnit val="20"/>
      </c:valAx>
      <c:catAx>
        <c:axId val="110108032"/>
        <c:scaling>
          <c:orientation val="minMax"/>
        </c:scaling>
        <c:delete val="1"/>
        <c:axPos val="b"/>
        <c:numFmt formatCode="General" sourceLinked="1"/>
        <c:tickLblPos val="none"/>
        <c:crossAx val="110130304"/>
        <c:crosses val="autoZero"/>
        <c:lblAlgn val="ctr"/>
        <c:lblOffset val="100"/>
      </c:catAx>
      <c:valAx>
        <c:axId val="110130304"/>
        <c:scaling>
          <c:orientation val="minMax"/>
          <c:max val="2.400000000000003"/>
        </c:scaling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s-MX"/>
                  <a:t>índice de Proyectos por Investigador</a:t>
                </a:r>
              </a:p>
            </c:rich>
          </c:tx>
          <c:layout>
            <c:manualLayout>
              <c:xMode val="edge"/>
              <c:yMode val="edge"/>
              <c:x val="0.95667756954605543"/>
              <c:y val="0.21641696499598989"/>
            </c:manualLayout>
          </c:layout>
        </c:title>
        <c:numFmt formatCode="#,##0.0" sourceLinked="1"/>
        <c:majorTickMark val="cross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10108032"/>
        <c:crosses val="max"/>
        <c:crossBetween val="between"/>
        <c:majorUnit val="0.30000000000000032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0.99454229094677848"/>
          <c:h val="0.17470625133685991"/>
        </c:manualLayout>
      </c:layout>
    </c:legend>
    <c:plotVisOnly val="1"/>
    <c:dispBlanksAs val="gap"/>
  </c:chart>
  <c:spPr>
    <a:noFill/>
  </c:spPr>
  <c:txPr>
    <a:bodyPr/>
    <a:lstStyle/>
    <a:p>
      <a:pPr>
        <a:defRPr sz="1800">
          <a:latin typeface="Arial" pitchFamily="34" charset="0"/>
          <a:cs typeface="Arial" pitchFamily="34" charset="0"/>
        </a:defRPr>
      </a:pPr>
      <a:endParaRPr lang="es-MX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8081073199191"/>
          <c:y val="5.1114736269711802E-2"/>
          <c:w val="0.82346363371245246"/>
          <c:h val="0.61065796628602564"/>
        </c:manualLayout>
      </c:layout>
      <c:barChart>
        <c:barDir val="col"/>
        <c:grouping val="clustered"/>
        <c:ser>
          <c:idx val="1"/>
          <c:order val="0"/>
          <c:tx>
            <c:strRef>
              <c:f>'Datos '!$I$84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1.5225666122892952E-2"/>
                </c:manualLayout>
              </c:layout>
              <c:showVal val="1"/>
            </c:dLbl>
            <c:dLbl>
              <c:idx val="1"/>
              <c:layout>
                <c:manualLayout>
                  <c:x val="1.9563721201517046E-3"/>
                  <c:y val="1.738723116380436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290172061826345E-4"/>
                  <c:y val="1.88656108035435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4593175853018412E-3"/>
                  <c:y val="1.599722546916570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013939017889861E-3"/>
                  <c:y val="5.043480494791464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'!$Q$84:$Q$84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0"/>
          <c:order val="1"/>
          <c:tx>
            <c:strRef>
              <c:f>'Datos '!$I$85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FFFF"/>
            </a:solidFill>
          </c:spPr>
          <c:dLbls>
            <c:dLbl>
              <c:idx val="0"/>
              <c:layout>
                <c:manualLayout>
                  <c:x val="-4.4395450568678919E-3"/>
                  <c:y val="1.74007612833061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4395116537180911E-3"/>
                  <c:y val="1.087547580206654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814814814814821E-3"/>
                  <c:y val="1.3050570962479609E-2"/>
                </c:manualLayout>
              </c:layout>
              <c:showVal val="1"/>
            </c:dLbl>
            <c:dLbl>
              <c:idx val="3"/>
              <c:layout>
                <c:manualLayout>
                  <c:x val="-4.4411781860602111E-3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'!$Q$85:$Q$85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ser>
          <c:idx val="2"/>
          <c:order val="2"/>
          <c:tx>
            <c:strRef>
              <c:f>'Datos '!$I$86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2.9629629629630005E-3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1.4814814814814821E-3"/>
                  <c:y val="2.175095160413266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14814814814821E-3"/>
                  <c:y val="1.957585644371968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967045785942E-3"/>
                  <c:y val="1.740076128330618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4796041726748638E-3"/>
                  <c:y val="1.0875475802066542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'!$Q$86:$Q$86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3"/>
          <c:order val="3"/>
          <c:tx>
            <c:strRef>
              <c:f>'Datos '!$I$87</c:f>
              <c:strCache>
                <c:ptCount val="1"/>
                <c:pt idx="0">
                  <c:v>FONCICYT</c:v>
                </c:pt>
              </c:strCache>
            </c:strRef>
          </c:tx>
          <c:dLbls>
            <c:dLbl>
              <c:idx val="2"/>
              <c:layout>
                <c:manualLayout>
                  <c:x val="1.4814814814814821E-3"/>
                  <c:y val="1.5225666122892874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'!$Q$87:$Q$87</c:f>
            </c:numRef>
          </c:val>
        </c:ser>
        <c:ser>
          <c:idx val="5"/>
          <c:order val="4"/>
          <c:tx>
            <c:strRef>
              <c:f>'Datos '!$I$88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CC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'!$Q$88:$Q$88</c:f>
              <c:numCache>
                <c:formatCode>General</c:formatCode>
                <c:ptCount val="1"/>
                <c:pt idx="0">
                  <c:v>106</c:v>
                </c:pt>
              </c:numCache>
            </c:numRef>
          </c:val>
        </c:ser>
        <c:axId val="148662528"/>
        <c:axId val="148676608"/>
      </c:barChart>
      <c:catAx>
        <c:axId val="1486625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8676608"/>
        <c:crosses val="autoZero"/>
        <c:lblAlgn val="ctr"/>
        <c:lblOffset val="100"/>
        <c:tickLblSkip val="1"/>
        <c:tickMarkSkip val="1"/>
      </c:catAx>
      <c:valAx>
        <c:axId val="1486766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s-MX"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2.6655118110236412E-2"/>
              <c:y val="0.149537792278412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MX"/>
          </a:p>
        </c:txPr>
        <c:crossAx val="14866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000000000000022E-2"/>
          <c:y val="0.77215878194671017"/>
          <c:w val="0.93629629629629663"/>
          <c:h val="0.20119630233822741"/>
        </c:manualLayout>
      </c:layout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333399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5838366393974557"/>
          <c:y val="3.5782165599418915E-2"/>
          <c:w val="0.73528642301463609"/>
          <c:h val="0.680287332504491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'!$I$129</c:f>
              <c:strCache>
                <c:ptCount val="1"/>
                <c:pt idx="0">
                  <c:v>Tesis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5.4859671047121706E-4"/>
                  <c:y val="1.1199729066124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380608841484821E-3"/>
                  <c:y val="4.408557589045003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785569110982693E-3"/>
                  <c:y val="4.180783571281586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349873923463861E-3"/>
                  <c:y val="4.005925530495137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3326493443751548E-4"/>
                  <c:y val="3.8576271186440712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'!$M$128:$O$128</c:f>
            </c:multiLvlStrRef>
          </c:cat>
          <c:val>
            <c:numRef>
              <c:f>'Datos '!$M$129:$O$129</c:f>
            </c:numRef>
          </c:val>
        </c:ser>
        <c:ser>
          <c:idx val="2"/>
          <c:order val="1"/>
          <c:tx>
            <c:strRef>
              <c:f>'Datos '!$I$130</c:f>
              <c:strCache>
                <c:ptCount val="1"/>
                <c:pt idx="0">
                  <c:v>Servicio social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1.6852808886959156E-3"/>
                  <c:y val="8.51231456848885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192212832355296E-3"/>
                  <c:y val="1.087266726777166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1042587645988841E-3"/>
                  <c:y val="-9.1320809167403955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8292524706393832E-4"/>
                  <c:y val="3.666942479647675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7194532431118672E-3"/>
                  <c:y val="5.4042439610302993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'!$M$128:$O$128</c:f>
            </c:multiLvlStrRef>
          </c:cat>
          <c:val>
            <c:numRef>
              <c:f>'Datos '!$M$130:$O$130</c:f>
            </c:numRef>
          </c:val>
        </c:ser>
        <c:ser>
          <c:idx val="3"/>
          <c:order val="2"/>
          <c:tx>
            <c:strRef>
              <c:f>'Datos '!$I$131</c:f>
              <c:strCache>
                <c:ptCount val="1"/>
                <c:pt idx="0">
                  <c:v>Prácticas o  Residencias profesionales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3.5052748368655812E-3"/>
                  <c:y val="1.38873218097314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031646107891462E-3"/>
                  <c:y val="-1.122895880772234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032730889191893E-3"/>
                  <c:y val="2.679205759519381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6913689821861656E-4"/>
                  <c:y val="5.065260910182853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6913689821861656E-4"/>
                  <c:y val="5.1923662084612368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'!$M$128:$O$128</c:f>
            </c:multiLvlStrRef>
          </c:cat>
          <c:val>
            <c:numRef>
              <c:f>'Datos '!$M$131:$O$131</c:f>
            </c:numRef>
          </c:val>
        </c:ser>
        <c:ser>
          <c:idx val="0"/>
          <c:order val="3"/>
          <c:tx>
            <c:strRef>
              <c:f>'Datos '!$I$132</c:f>
              <c:strCache>
                <c:ptCount val="1"/>
                <c:pt idx="0">
                  <c:v>T o t a l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1.1695626320849151E-3"/>
                  <c:y val="1.595604454366803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606025074166861E-3"/>
                  <c:y val="4.99452822634457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7391396396029763E-3"/>
                  <c:y val="9.443658525735226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8147719901084847E-4"/>
                  <c:y val="3.935050491569908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3971071609843733E-3"/>
                  <c:y val="2.452066373059314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'!$M$128:$O$128</c:f>
            </c:multiLvlStrRef>
          </c:cat>
          <c:val>
            <c:numRef>
              <c:f>'Datos '!$M$132:$O$132</c:f>
            </c:numRef>
          </c:val>
        </c:ser>
        <c:dLbls>
          <c:showVal val="1"/>
        </c:dLbls>
        <c:axId val="148733952"/>
        <c:axId val="148735488"/>
      </c:barChart>
      <c:catAx>
        <c:axId val="148733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8735488"/>
        <c:crosses val="autoZero"/>
        <c:auto val="1"/>
        <c:lblAlgn val="ctr"/>
        <c:lblOffset val="100"/>
        <c:tickLblSkip val="1"/>
        <c:tickMarkSkip val="1"/>
      </c:catAx>
      <c:valAx>
        <c:axId val="1487354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Alumnos</a:t>
                </a:r>
              </a:p>
              <a:p>
                <a:pPr>
                  <a:defRPr/>
                </a:pPr>
                <a:r>
                  <a:rPr lang="es-MX"/>
                  <a:t> </a:t>
                </a:r>
              </a:p>
            </c:rich>
          </c:tx>
          <c:layout>
            <c:manualLayout>
              <c:xMode val="edge"/>
              <c:yMode val="edge"/>
              <c:x val="3.9839370063574887E-2"/>
              <c:y val="0.168227299261616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8733952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9803519370662783E-2"/>
          <c:y val="0.85480773229053408"/>
          <c:w val="0.95019649728457634"/>
          <c:h val="0.1286509220753973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0000FF"/>
          </a:solidFill>
          <a:latin typeface="Arial" pitchFamily="34" charset="0"/>
          <a:ea typeface="Arial"/>
          <a:cs typeface="Arial" pitchFamily="34" charset="0"/>
        </a:defRPr>
      </a:pPr>
      <a:endParaRPr lang="es-MX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654827968923419"/>
          <c:y val="0.23001631321370311"/>
          <c:w val="0.84572697003330466"/>
          <c:h val="0.68678629690048965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9634031595107291E-3"/>
                  <c:y val="0.8613376835236541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9969616727988142E-4"/>
                  <c:y val="0.8646003262642867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'!$I$84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1824685898725606E-4"/>
                  <c:y val="0.86623164763460181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995930447652364E-4"/>
                  <c:y val="-3.167418102101049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937476877544194E-3"/>
                  <c:y val="-2.912572306928163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1794302626709319E-4"/>
                  <c:y val="6.182065740966743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937476877543691E-3"/>
                  <c:y val="2.5827114188215709E-4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'!$Q$84:$Q$84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4"/>
          <c:order val="2"/>
          <c:tx>
            <c:strRef>
              <c:f>'Datos '!$I$85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33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977802441731598E-3"/>
                  <c:y val="6.78355662312191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4395116537182034E-4"/>
                  <c:y val="3.092745543838033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221492485225727E-17"/>
                  <c:y val="8.149756158131144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6592674805770601E-4"/>
                  <c:y val="-2.412985489374946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93882E-4"/>
                  <c:y val="3.16416402272728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'!$Q$85:$Q$85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dLbls>
          <c:showVal val="1"/>
        </c:dLbls>
        <c:axId val="148806656"/>
        <c:axId val="148820736"/>
      </c:barChart>
      <c:lineChart>
        <c:grouping val="standard"/>
        <c:ser>
          <c:idx val="2"/>
          <c:order val="3"/>
          <c:tx>
            <c:strRef>
              <c:f>'Datos '!$I$86</c:f>
              <c:strCache>
                <c:ptCount val="1"/>
                <c:pt idx="0">
                  <c:v>Vinculación </c:v>
                </c:pt>
              </c:strCache>
            </c:strRef>
          </c:tx>
          <c:dLbls>
            <c:dLbl>
              <c:idx val="0"/>
              <c:layout>
                <c:manualLayout>
                  <c:x val="-2.1309655937846828E-2"/>
                  <c:y val="-2.87758239029256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2874583795782716E-2"/>
                  <c:y val="-3.187542014018229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4417314095449456E-2"/>
                  <c:y val="2.523110386079454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1E-2"/>
                  <c:y val="2.11119531755106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3085460599334102E-2"/>
                  <c:y val="4.7549635414659605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'!$Q$86:$Q$86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2.7968923418424482E-2"/>
                  <c:y val="-3.80335084541838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302996670366612E-2"/>
                  <c:y val="-4.6710082936207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076581576026652E-2"/>
                  <c:y val="-3.881859791995819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1531631520532796E-2"/>
                  <c:y val="-4.10515814397588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0876803551609297E-2"/>
                  <c:y val="-3.3414942218682638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'!$I$88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'!$Q$88:$Q$88</c:f>
              <c:numCache>
                <c:formatCode>General</c:formatCode>
                <c:ptCount val="1"/>
                <c:pt idx="0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'!$I$90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'!$Q$90:$Q$90</c:f>
              <c:numCache>
                <c:formatCode>#,##0.0</c:formatCode>
                <c:ptCount val="1"/>
                <c:pt idx="0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'!$I$91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'!$Q$91:$Q$91</c:f>
              <c:numCache>
                <c:formatCode>#,##0.0</c:formatCode>
                <c:ptCount val="1"/>
                <c:pt idx="0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148806656"/>
        <c:axId val="148820736"/>
      </c:lineChart>
      <c:catAx>
        <c:axId val="1488066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8820736"/>
        <c:crosses val="autoZero"/>
        <c:lblAlgn val="ctr"/>
        <c:lblOffset val="100"/>
        <c:tickLblSkip val="1"/>
        <c:tickMarkSkip val="1"/>
      </c:catAx>
      <c:valAx>
        <c:axId val="1488207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0"/>
              <c:y val="0.381729200652528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8806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4395116537180911E-3"/>
          <c:y val="0"/>
          <c:w val="0.99112097669256294"/>
          <c:h val="0.22185970636215335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3"/>
          <c:y val="0.10342134733158485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'!$I$155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2231722022929834E-3"/>
                  <c:y val="8.541624562553651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9924680680077838E-4"/>
                  <c:y val="8.95688201135434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6132634208652928E-4"/>
                  <c:y val="9.097699342549106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451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'!$P$154:$R$154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'!$P$155:$R$155</c:f>
              <c:numCache>
                <c:formatCode>General</c:formatCode>
                <c:ptCount val="3"/>
                <c:pt idx="0">
                  <c:v>16</c:v>
                </c:pt>
                <c:pt idx="1">
                  <c:v>21</c:v>
                </c:pt>
                <c:pt idx="2">
                  <c:v>45</c:v>
                </c:pt>
              </c:numCache>
            </c:numRef>
          </c:val>
        </c:ser>
        <c:ser>
          <c:idx val="0"/>
          <c:order val="1"/>
          <c:tx>
            <c:strRef>
              <c:f>'Datos '!$I$156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8206918815318503E-3"/>
                  <c:y val="7.399305992575029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664020919527807E-3"/>
                  <c:y val="0.10792778737527391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2449039846626124E-3"/>
                  <c:y val="8.880764070958474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7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'!$P$154:$R$154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'!$P$156:$R$156</c:f>
              <c:numCache>
                <c:formatCode>General</c:formatCode>
                <c:ptCount val="3"/>
                <c:pt idx="0">
                  <c:v>12</c:v>
                </c:pt>
                <c:pt idx="1">
                  <c:v>26</c:v>
                </c:pt>
                <c:pt idx="2">
                  <c:v>29</c:v>
                </c:pt>
              </c:numCache>
            </c:numRef>
          </c:val>
        </c:ser>
        <c:dLbls>
          <c:showVal val="1"/>
        </c:dLbls>
        <c:axId val="149055744"/>
        <c:axId val="149086208"/>
      </c:barChart>
      <c:lineChart>
        <c:grouping val="standard"/>
        <c:ser>
          <c:idx val="2"/>
          <c:order val="2"/>
          <c:tx>
            <c:strRef>
              <c:f>'Datos '!$I$157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760223898113936E-2"/>
                  <c:y val="-3.9733633569642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928766138331183E-2"/>
                  <c:y val="-3.700125191947539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279395594734069E-2"/>
                  <c:y val="-4.43003665783689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443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239320318644029E-2"/>
                  <c:y val="4.6879241712150445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'!$P$157:$R$157</c:f>
              <c:numCache>
                <c:formatCode>General</c:formatCode>
                <c:ptCount val="3"/>
                <c:pt idx="0">
                  <c:v>2.9</c:v>
                </c:pt>
                <c:pt idx="1">
                  <c:v>2.4</c:v>
                </c:pt>
                <c:pt idx="2">
                  <c:v>2.7</c:v>
                </c:pt>
              </c:numCache>
            </c:numRef>
          </c:val>
        </c:ser>
        <c:ser>
          <c:idx val="3"/>
          <c:order val="3"/>
          <c:tx>
            <c:strRef>
              <c:f>'Datos '!$I$158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3867463934880361E-2"/>
                  <c:y val="-4.187637162107516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26788943383194E-2"/>
                  <c:y val="-4.570510574006194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057533608610404E-2"/>
                  <c:y val="-4.386045193073943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83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934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'!$P$158:$R$158</c:f>
              <c:numCache>
                <c:formatCode>General</c:formatCode>
                <c:ptCount val="3"/>
                <c:pt idx="0">
                  <c:v>4.5</c:v>
                </c:pt>
                <c:pt idx="1">
                  <c:v>4.3</c:v>
                </c:pt>
                <c:pt idx="2" formatCode="0.0">
                  <c:v>5.2</c:v>
                </c:pt>
              </c:numCache>
            </c:numRef>
          </c:val>
        </c:ser>
        <c:dLbls>
          <c:showVal val="1"/>
        </c:dLbls>
        <c:marker val="1"/>
        <c:axId val="149088128"/>
        <c:axId val="149089664"/>
      </c:lineChart>
      <c:catAx>
        <c:axId val="149055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9086208"/>
        <c:crosses val="autoZero"/>
        <c:lblAlgn val="ctr"/>
        <c:lblOffset val="100"/>
        <c:tickLblSkip val="1"/>
        <c:tickMarkSkip val="1"/>
      </c:catAx>
      <c:valAx>
        <c:axId val="149086208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sz="1800"/>
                </a:pPr>
                <a:r>
                  <a:rPr lang="es-MX" sz="1800"/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701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9055744"/>
        <c:crosses val="autoZero"/>
        <c:crossBetween val="between"/>
      </c:valAx>
      <c:catAx>
        <c:axId val="149088128"/>
        <c:scaling>
          <c:orientation val="minMax"/>
        </c:scaling>
        <c:delete val="1"/>
        <c:axPos val="b"/>
        <c:numFmt formatCode="General" sourceLinked="1"/>
        <c:tickLblPos val="none"/>
        <c:crossAx val="149089664"/>
        <c:crosses val="autoZero"/>
        <c:lblAlgn val="ctr"/>
        <c:lblOffset val="100"/>
      </c:catAx>
      <c:valAx>
        <c:axId val="149089664"/>
        <c:scaling>
          <c:orientation val="minMax"/>
          <c:max val="5.5"/>
        </c:scaling>
        <c:axPos val="r"/>
        <c:title>
          <c:tx>
            <c:rich>
              <a:bodyPr rot="5400000" vert="horz"/>
              <a:lstStyle/>
              <a:p>
                <a:pPr algn="ctr">
                  <a:defRPr sz="1800"/>
                </a:pPr>
                <a:r>
                  <a:rPr lang="es-MX" sz="1800"/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2035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90881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1144866709467678"/>
          <c:w val="0.99001108194808951"/>
          <c:h val="0.18855133290532397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002060"/>
          </a:solidFill>
          <a:latin typeface="Arial" pitchFamily="34" charset="0"/>
          <a:ea typeface="Arial"/>
          <a:cs typeface="Arial" pitchFamily="34" charset="0"/>
        </a:defRPr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868906386701691"/>
          <c:y val="0.19575856443719444"/>
          <c:w val="0.81871834354039064"/>
          <c:h val="0.6644915715062536"/>
        </c:manualLayout>
      </c:layout>
      <c:barChart>
        <c:barDir val="col"/>
        <c:grouping val="clustered"/>
        <c:ser>
          <c:idx val="2"/>
          <c:order val="0"/>
          <c:tx>
            <c:strRef>
              <c:f>'Datos '!$I$549:$Q$549</c:f>
              <c:strCache>
                <c:ptCount val="1"/>
                <c:pt idx="0">
                  <c:v>Fondos Institucionales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0"/>
                  </a:schemeClr>
                </a:gs>
                <a:gs pos="38000">
                  <a:schemeClr val="accent1">
                    <a:lumMod val="5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38100">
              <a:noFill/>
              <a:prstDash val="solid"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4383435144969633E-3"/>
                  <c:y val="9.1765038342476969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3.2926960711487092E-3"/>
                  <c:y val="4.009025788579102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73E-4"/>
                  <c:y val="5.7494444515807314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91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337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'!$T$548:$X$548</c:f>
            </c:multiLvlStrRef>
          </c:cat>
          <c:val>
            <c:numRef>
              <c:f>'Datos '!$T$549:$X$549</c:f>
            </c:numRef>
          </c:val>
        </c:ser>
        <c:ser>
          <c:idx val="0"/>
          <c:order val="1"/>
          <c:tx>
            <c:strRef>
              <c:f>'Datos '!$I$550:$Q$550</c:f>
              <c:strCache>
                <c:ptCount val="1"/>
                <c:pt idx="0">
                  <c:v>Fondos Mixtos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12000">
                  <a:schemeClr val="bg2">
                    <a:lumMod val="25000"/>
                  </a:schemeClr>
                </a:gs>
                <a:gs pos="81000">
                  <a:schemeClr val="bg2">
                    <a:lumMod val="75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9596744358120607E-3"/>
                  <c:y val="-2.1750951604132679E-3"/>
                </c:manualLayout>
              </c:layout>
              <c:showVal val="1"/>
            </c:dLbl>
            <c:dLbl>
              <c:idx val="1"/>
              <c:layout>
                <c:manualLayout>
                  <c:x val="1.4798372179060304E-3"/>
                  <c:y val="-2.175095160413267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744358120607E-3"/>
                  <c:y val="1.087547580206654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62292213472252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'!$T$548:$X$548</c:f>
            </c:multiLvlStrRef>
          </c:cat>
          <c:val>
            <c:numRef>
              <c:f>'Datos '!$T$550:$X$550</c:f>
            </c:numRef>
          </c:val>
        </c:ser>
        <c:ser>
          <c:idx val="3"/>
          <c:order val="2"/>
          <c:tx>
            <c:strRef>
              <c:f>'Datos '!$I$551:$Q$551</c:f>
              <c:strCache>
                <c:ptCount val="1"/>
                <c:pt idx="0">
                  <c:v>Fondos Sectoriales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12000">
                  <a:srgbClr val="336699"/>
                </a:gs>
                <a:gs pos="81000">
                  <a:schemeClr val="accent2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1.085201423458365E-16"/>
                  <c:y val="-4.3503615881620534E-3"/>
                </c:manualLayout>
              </c:layout>
              <c:showVal val="1"/>
            </c:dLbl>
            <c:dLbl>
              <c:idx val="2"/>
              <c:layout>
                <c:manualLayout>
                  <c:x val="-1.4798372179060304E-3"/>
                  <c:y val="1.087547580206654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45960921551597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'!$T$548:$X$548</c:f>
            </c:multiLvlStrRef>
          </c:cat>
          <c:val>
            <c:numRef>
              <c:f>'Datos '!$T$551:$X$551</c:f>
            </c:numRef>
          </c:val>
        </c:ser>
        <c:ser>
          <c:idx val="1"/>
          <c:order val="3"/>
          <c:tx>
            <c:strRef>
              <c:f>'Datos '!$I$552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C00000"/>
                </a:gs>
                <a:gs pos="12000">
                  <a:srgbClr val="CC0000"/>
                </a:gs>
                <a:gs pos="48000">
                  <a:srgbClr val="FF0000"/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6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6.5251142139043589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'!$T$548:$X$548</c:f>
            </c:multiLvlStrRef>
          </c:cat>
          <c:val>
            <c:numRef>
              <c:f>'Datos '!$T$552:$X$552</c:f>
            </c:numRef>
          </c:val>
        </c:ser>
        <c:dLbls>
          <c:showVal val="1"/>
        </c:dLbls>
        <c:axId val="109608320"/>
        <c:axId val="109327488"/>
      </c:barChart>
      <c:catAx>
        <c:axId val="1096083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09327488"/>
        <c:crosses val="autoZero"/>
        <c:lblAlgn val="ctr"/>
        <c:lblOffset val="100"/>
        <c:tickLblSkip val="1"/>
        <c:tickMarkSkip val="1"/>
      </c:catAx>
      <c:valAx>
        <c:axId val="1093274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09608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995930447651605E-4"/>
          <c:y val="1.2506797172376278E-2"/>
          <c:w val="0.98900108074724868"/>
          <c:h val="0.15276292747256698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chemeClr val="accent5">
            <a:lumMod val="75000"/>
          </a:schemeClr>
        </a:gs>
        <a:gs pos="12000">
          <a:schemeClr val="accent5">
            <a:lumMod val="60000"/>
            <a:lumOff val="40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9525">
      <a:noFill/>
    </a:ln>
  </c:spPr>
  <c:txPr>
    <a:bodyPr/>
    <a:lstStyle/>
    <a:p>
      <a:pPr>
        <a:defRPr sz="2000" b="1" i="0" u="none" strike="noStrike" baseline="0">
          <a:solidFill>
            <a:srgbClr val="00008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435"/>
        </c:manualLayout>
      </c:layout>
      <c:barChart>
        <c:barDir val="col"/>
        <c:grouping val="clustered"/>
        <c:ser>
          <c:idx val="1"/>
          <c:order val="0"/>
          <c:tx>
            <c:strRef>
              <c:f>'Datos '!$I$96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rgbClr val="006699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27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0"/>
                  <c:y val="1.9575856443719727E-2"/>
                </c:manualLayout>
              </c:layout>
              <c:showVal val="1"/>
            </c:dLbl>
            <c:dLbl>
              <c:idx val="1"/>
              <c:layout>
                <c:manualLayout>
                  <c:x val="-2.9596744358120607E-3"/>
                  <c:y val="1.9575856443719689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'!$Q$95:$Q$95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'!$Q$96:$Q$96</c:f>
              <c:numCache>
                <c:formatCode>#,##0</c:formatCode>
                <c:ptCount val="1"/>
                <c:pt idx="0">
                  <c:v>113</c:v>
                </c:pt>
              </c:numCache>
            </c:numRef>
          </c:val>
        </c:ser>
        <c:ser>
          <c:idx val="0"/>
          <c:order val="1"/>
          <c:tx>
            <c:strRef>
              <c:f>'Datos '!$I$97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chemeClr val="accent3">
                    <a:lumMod val="60000"/>
                    <a:lumOff val="40000"/>
                  </a:scheme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81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0875475802066522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22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'!$Q$95:$Q$95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'!$Q$97:$Q$97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</c:ser>
        <c:dLbls>
          <c:showVal val="1"/>
        </c:dLbls>
        <c:axId val="149263104"/>
        <c:axId val="149264640"/>
      </c:barChart>
      <c:lineChart>
        <c:grouping val="standard"/>
        <c:ser>
          <c:idx val="2"/>
          <c:order val="2"/>
          <c:tx>
            <c:strRef>
              <c:f>'Datos '!$I$98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1.1838697743248243E-2"/>
                  <c:y val="5.002718868950517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0358860525342212E-2"/>
                  <c:y val="3.915171288743882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3991860895301831E-3"/>
                  <c:y val="5.002718868950515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'!$Q$95:$Q$95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'!$Q$98:$Q$98</c:f>
              <c:numCache>
                <c:formatCode>#,##0.0</c:formatCode>
                <c:ptCount val="1"/>
                <c:pt idx="0">
                  <c:v>5.0625</c:v>
                </c:pt>
              </c:numCache>
            </c:numRef>
          </c:val>
        </c:ser>
        <c:ser>
          <c:idx val="3"/>
          <c:order val="3"/>
          <c:tx>
            <c:strRef>
              <c:f>'Datos '!$I$99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3318534961154272E-2"/>
                  <c:y val="-3.262642740619904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39918608953017E-3"/>
                  <c:y val="-3.045133224578581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42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'!$Q$95:$Q$95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'!$Q$99:$Q$99</c:f>
              <c:numCache>
                <c:formatCode>#,##0.0</c:formatCode>
                <c:ptCount val="1"/>
                <c:pt idx="0">
                  <c:v>2.3541666666666665</c:v>
                </c:pt>
              </c:numCache>
            </c:numRef>
          </c:val>
        </c:ser>
        <c:dLbls>
          <c:showVal val="1"/>
        </c:dLbls>
        <c:marker val="1"/>
        <c:axId val="149287296"/>
        <c:axId val="149288832"/>
      </c:lineChart>
      <c:catAx>
        <c:axId val="1492631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9264640"/>
        <c:crosses val="autoZero"/>
        <c:lblAlgn val="ctr"/>
        <c:lblOffset val="100"/>
        <c:tickLblSkip val="1"/>
        <c:tickMarkSkip val="1"/>
      </c:catAx>
      <c:valAx>
        <c:axId val="149264640"/>
        <c:scaling>
          <c:orientation val="minMax"/>
          <c:max val="150"/>
        </c:scaling>
        <c:axPos val="l"/>
        <c:title>
          <c:tx>
            <c:rich>
              <a:bodyPr/>
              <a:lstStyle/>
              <a:p>
                <a:pPr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54268624252337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9263104"/>
        <c:crosses val="autoZero"/>
        <c:crossBetween val="between"/>
        <c:majorUnit val="30"/>
      </c:valAx>
      <c:catAx>
        <c:axId val="149287296"/>
        <c:scaling>
          <c:orientation val="minMax"/>
        </c:scaling>
        <c:delete val="1"/>
        <c:axPos val="b"/>
        <c:numFmt formatCode="General" sourceLinked="1"/>
        <c:tickLblPos val="none"/>
        <c:crossAx val="149288832"/>
        <c:crosses val="autoZero"/>
        <c:lblAlgn val="ctr"/>
        <c:lblOffset val="100"/>
      </c:catAx>
      <c:valAx>
        <c:axId val="149288832"/>
        <c:scaling>
          <c:orientation val="minMax"/>
          <c:max val="7"/>
        </c:scaling>
        <c:axPos val="r"/>
        <c:title>
          <c:tx>
            <c:rich>
              <a:bodyPr rot="5400000" vert="horz"/>
              <a:lstStyle/>
              <a:p>
                <a:pPr algn="ctr"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92872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8357803153889072"/>
          <c:w val="0.97314841194240365"/>
          <c:h val="0.21642196846112363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22419533851276699"/>
          <c:y val="0.17455138662316491"/>
          <c:w val="0.55937846836849014"/>
          <c:h val="0.82218597063621535"/>
        </c:manualLayout>
      </c:layout>
      <c:pieChart>
        <c:varyColors val="1"/>
        <c:ser>
          <c:idx val="0"/>
          <c:order val="0"/>
          <c:tx>
            <c:strRef>
              <c:f>'Datos '!$U$320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8000"/>
            </a:solidFill>
            <a:ln w="38100">
              <a:solidFill>
                <a:srgbClr val="00FF00"/>
              </a:solidFill>
              <a:prstDash val="solid"/>
            </a:ln>
          </c:spPr>
          <c:explosion val="2"/>
          <c:dLbls>
            <c:dLbl>
              <c:idx val="0"/>
              <c:layout>
                <c:manualLayout>
                  <c:x val="-0.13574791497344746"/>
                  <c:y val="0.1373425303892479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3.7659992833859846E-2"/>
                  <c:y val="-0.22566612289287649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0.16715367293849637"/>
                  <c:y val="0.11155463642085521"/>
                </c:manualLayout>
              </c:layout>
              <c:dLblPos val="bestFit"/>
              <c:showVal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  <c:showLeaderLines val="1"/>
          </c:dLbls>
          <c:cat>
            <c:strRef>
              <c:f>'Datos '!$I$321:$I$323</c:f>
              <c:strCache>
                <c:ptCount val="3"/>
                <c:pt idx="0">
                  <c:v>Sector Académico</c:v>
                </c:pt>
                <c:pt idx="1">
                  <c:v>Sector Productivo</c:v>
                </c:pt>
                <c:pt idx="2">
                  <c:v>Sector Público</c:v>
                </c:pt>
              </c:strCache>
            </c:strRef>
          </c:cat>
          <c:val>
            <c:numRef>
              <c:f>'Datos '!$U$321:$U$323</c:f>
              <c:numCache>
                <c:formatCode>General</c:formatCode>
                <c:ptCount val="3"/>
                <c:pt idx="0">
                  <c:v>34</c:v>
                </c:pt>
                <c:pt idx="1">
                  <c:v>46</c:v>
                </c:pt>
                <c:pt idx="2">
                  <c:v>43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538290788013319E-2"/>
          <c:y val="0"/>
          <c:w val="0.97669256381798042"/>
          <c:h val="0.23491027732463296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539400665926749"/>
          <c:y val="0.17455138662316491"/>
          <c:w val="0.74250832408435052"/>
          <c:h val="0.61663947797717156"/>
        </c:manualLayout>
      </c:layout>
      <c:barChart>
        <c:barDir val="col"/>
        <c:grouping val="clustered"/>
        <c:ser>
          <c:idx val="1"/>
          <c:order val="0"/>
          <c:tx>
            <c:strRef>
              <c:f>'Datos '!$I$375</c:f>
              <c:strCache>
                <c:ptCount val="1"/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25844424829816E-4"/>
                  <c:y val="5.884625759463597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6131157856112694E-5"/>
                  <c:y val="6.597406156204380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8806604501852621E-4"/>
                  <c:y val="7.339216366306577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6796735036311849E-3"/>
                  <c:y val="7.868757840832701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1976165298982471E-3"/>
                  <c:y val="5.6407924539612124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'!$Q$376:$Q$376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'!$Q$377:$Q$377</c:f>
              <c:numCache>
                <c:formatCode>_-"$"* #,##0_-;\-"$"* #,##0_-;_-"$"* "-"??_-;_-@_-</c:formatCode>
                <c:ptCount val="1"/>
                <c:pt idx="0">
                  <c:v>28143</c:v>
                </c:pt>
              </c:numCache>
            </c:numRef>
          </c:val>
        </c:ser>
        <c:dLbls>
          <c:showVal val="1"/>
        </c:dLbls>
        <c:axId val="118957568"/>
        <c:axId val="118959104"/>
      </c:barChart>
      <c:lineChart>
        <c:grouping val="standard"/>
        <c:ser>
          <c:idx val="2"/>
          <c:order val="1"/>
          <c:tx>
            <c:strRef>
              <c:f>'Datos '!$I$380</c:f>
              <c:strCache>
                <c:ptCount val="1"/>
                <c:pt idx="0">
                  <c:v>Ingresos por Investigador (miles $)</c:v>
                </c:pt>
              </c:strCache>
            </c:strRef>
          </c:tx>
          <c:spPr>
            <a:ln w="38100">
              <a:solidFill>
                <a:srgbClr val="3333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33CC"/>
              </a:solidFill>
              <a:ln>
                <a:solidFill>
                  <a:srgbClr val="3333C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5035204395233055E-2"/>
                  <c:y val="-5.89856692057049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813228812547142E-2"/>
                  <c:y val="-5.59107354647553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920886970149829E-2"/>
                  <c:y val="-6.380170667899788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6533539578363045E-2"/>
                  <c:y val="-2.50714827041400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0707204884628577E-3"/>
                  <c:y val="3.5534889297075996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'!$Q$376:$Q$376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'!$Q$539:$U$539</c:f>
            </c:numRef>
          </c:val>
        </c:ser>
        <c:dLbls>
          <c:showVal val="1"/>
        </c:dLbls>
        <c:marker val="1"/>
        <c:axId val="118981760"/>
        <c:axId val="118983296"/>
      </c:lineChart>
      <c:catAx>
        <c:axId val="1189575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959104"/>
        <c:crosses val="autoZero"/>
        <c:lblAlgn val="ctr"/>
        <c:lblOffset val="100"/>
        <c:tickLblSkip val="1"/>
        <c:tickMarkSkip val="1"/>
      </c:catAx>
      <c:valAx>
        <c:axId val="1189591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7520391517128882"/>
            </c:manualLayout>
          </c:layout>
          <c:spPr>
            <a:noFill/>
            <a:ln w="25400">
              <a:noFill/>
            </a:ln>
          </c:spPr>
        </c:title>
        <c:numFmt formatCode="_-&quot;$&quot;* #,##0_-;\-&quot;$&quot;* #,##0_-;_-&quot;$&quot;* &quot;-&quot;??_-;_-@_-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957568"/>
        <c:crosses val="autoZero"/>
        <c:crossBetween val="between"/>
      </c:valAx>
      <c:catAx>
        <c:axId val="118981760"/>
        <c:scaling>
          <c:orientation val="minMax"/>
        </c:scaling>
        <c:delete val="1"/>
        <c:axPos val="b"/>
        <c:numFmt formatCode="General" sourceLinked="1"/>
        <c:tickLblPos val="none"/>
        <c:crossAx val="118983296"/>
        <c:crosses val="autoZero"/>
        <c:lblAlgn val="ctr"/>
        <c:lblOffset val="100"/>
      </c:catAx>
      <c:valAx>
        <c:axId val="118983296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5227524972253053"/>
              <c:y val="0.380097879282226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9817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713651498336946E-2"/>
          <c:y val="0.88907014681892338"/>
          <c:w val="0.86903440621532491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61339252682205"/>
          <c:y val="8.3197389885807563E-2"/>
          <c:w val="0.71846096929337777"/>
          <c:h val="0.62805872756933312"/>
        </c:manualLayout>
      </c:layout>
      <c:barChart>
        <c:barDir val="col"/>
        <c:grouping val="clustered"/>
        <c:ser>
          <c:idx val="1"/>
          <c:order val="0"/>
          <c:tx>
            <c:strRef>
              <c:f>'Datos '!$I$141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2.4369539823060407E-3"/>
                  <c:y val="8.640608341575548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886472015637745E-3"/>
                  <c:y val="9.04839586731919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206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'!$P$140:$R$140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'!$P$141:$R$141</c:f>
              <c:numCache>
                <c:formatCode>General</c:formatCode>
                <c:ptCount val="3"/>
                <c:pt idx="0" formatCode="#,##0">
                  <c:v>60</c:v>
                </c:pt>
                <c:pt idx="1">
                  <c:v>36</c:v>
                </c:pt>
                <c:pt idx="2">
                  <c:v>46</c:v>
                </c:pt>
              </c:numCache>
            </c:numRef>
          </c:val>
        </c:ser>
        <c:ser>
          <c:idx val="0"/>
          <c:order val="1"/>
          <c:tx>
            <c:strRef>
              <c:f>'Datos '!$I$142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1.2582112030668881E-3"/>
                  <c:y val="-6.220772158781951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2815E-4"/>
                  <c:y val="-1.294095986778174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868E-4"/>
                  <c:y val="-1.718325176726497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54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'!$P$140:$R$140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'!$P$142:$R$142</c:f>
              <c:numCache>
                <c:formatCode>General</c:formatCode>
                <c:ptCount val="3"/>
                <c:pt idx="0" formatCode="#,##0">
                  <c:v>71</c:v>
                </c:pt>
                <c:pt idx="1">
                  <c:v>159</c:v>
                </c:pt>
                <c:pt idx="2">
                  <c:v>86</c:v>
                </c:pt>
              </c:numCache>
            </c:numRef>
          </c:val>
        </c:ser>
        <c:ser>
          <c:idx val="5"/>
          <c:order val="2"/>
          <c:tx>
            <c:strRef>
              <c:f>'Datos '!$I$143</c:f>
              <c:strCache>
                <c:ptCount val="1"/>
                <c:pt idx="0">
                  <c:v>Maestría en Ciencia y Tecnología Ambiental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-1.3876678289797845E-3"/>
                  <c:y val="1.264826399147087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4616596898750587E-3"/>
                  <c:y val="1.550842849374668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9056108552468396E-3"/>
                  <c:y val="9.19500070647777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298682420524759E-3"/>
                  <c:y val="1.379010331702041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0607985877461344E-4"/>
                  <c:y val="8.368635812856441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'!$P$140:$R$140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'!$P$143:$R$143</c:f>
              <c:numCache>
                <c:formatCode>General</c:formatCode>
                <c:ptCount val="3"/>
                <c:pt idx="0" formatCode="#,##0">
                  <c:v>24</c:v>
                </c:pt>
                <c:pt idx="1">
                  <c:v>31</c:v>
                </c:pt>
                <c:pt idx="2">
                  <c:v>11</c:v>
                </c:pt>
              </c:numCache>
            </c:numRef>
          </c:val>
        </c:ser>
        <c:ser>
          <c:idx val="6"/>
          <c:order val="3"/>
          <c:tx>
            <c:strRef>
              <c:f>'Datos '!$I$144</c:f>
              <c:strCache>
                <c:ptCount val="1"/>
                <c:pt idx="0">
                  <c:v>Doctorado en Ciencia y Tecnología Ambiental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dLbls>
            <c:dLbl>
              <c:idx val="0"/>
              <c:layout>
                <c:manualLayout>
                  <c:x val="5.7963009895684123E-3"/>
                  <c:y val="9.755387428121414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4287886600190517E-4"/>
                  <c:y val="1.2457814714433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2088056140596188E-3"/>
                  <c:y val="1.275701874949155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149827692182366E-4"/>
                  <c:y val="8.2490912127011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329753175969541E-3"/>
                  <c:y val="5.513951865315446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'!$P$140:$R$140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'!$P$144:$R$144</c:f>
              <c:numCache>
                <c:formatCode>General</c:formatCode>
                <c:ptCount val="3"/>
                <c:pt idx="0" formatCode="#,##0">
                  <c:v>18</c:v>
                </c:pt>
                <c:pt idx="1">
                  <c:v>6</c:v>
                </c:pt>
                <c:pt idx="2">
                  <c:v>20</c:v>
                </c:pt>
              </c:numCache>
            </c:numRef>
          </c:val>
        </c:ser>
        <c:gapWidth val="63"/>
        <c:overlap val="-3"/>
        <c:axId val="119171712"/>
        <c:axId val="119206272"/>
      </c:barChart>
      <c:lineChart>
        <c:grouping val="standard"/>
        <c:ser>
          <c:idx val="2"/>
          <c:order val="4"/>
          <c:tx>
            <c:strRef>
              <c:f>'Datos '!$I$148</c:f>
              <c:strCache>
                <c:ptCount val="1"/>
                <c:pt idx="0">
                  <c:v>Total de alumnos matriculados</c:v>
                </c:pt>
              </c:strCache>
            </c:strRef>
          </c:tx>
          <c:spPr>
            <a:ln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rgbClr val="000066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6885861290706677E-2"/>
                  <c:y val="-4.385117972505162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702182759896415E-2"/>
                  <c:y val="-3.888522091345445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201899124104034E-2"/>
                  <c:y val="-4.416059666300189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8E-2"/>
                  <c:y val="-3.582381729200664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0865704772475256E-2"/>
                  <c:y val="-3.326268555745377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'!$Q$140:$Q$140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'!$P$148:$R$148</c:f>
              <c:numCache>
                <c:formatCode>#,##0</c:formatCode>
                <c:ptCount val="3"/>
                <c:pt idx="0">
                  <c:v>173</c:v>
                </c:pt>
                <c:pt idx="1">
                  <c:v>267</c:v>
                </c:pt>
                <c:pt idx="2">
                  <c:v>166</c:v>
                </c:pt>
              </c:numCache>
            </c:numRef>
          </c:val>
        </c:ser>
        <c:marker val="1"/>
        <c:axId val="119171712"/>
        <c:axId val="119206272"/>
      </c:lineChart>
      <c:lineChart>
        <c:grouping val="standard"/>
        <c:ser>
          <c:idx val="3"/>
          <c:order val="5"/>
          <c:tx>
            <c:strRef>
              <c:f>'Datos '!$I$151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9.0530399199990237E-3"/>
                  <c:y val="2.022422597258143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84057844863816E-2"/>
                  <c:y val="5.727784868344122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5914933157827839E-2"/>
                  <c:y val="3.709002470355985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560858305586367E-2"/>
                  <c:y val="2.516311072861420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334443211246781E-2"/>
                  <c:y val="2.950901936605401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'!$Q$140:$Q$140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'!$P$151:$R$151</c:f>
              <c:numCache>
                <c:formatCode>#,##0.0</c:formatCode>
                <c:ptCount val="3"/>
                <c:pt idx="0">
                  <c:v>4.9428571428571431</c:v>
                </c:pt>
                <c:pt idx="1">
                  <c:v>5.5625</c:v>
                </c:pt>
                <c:pt idx="2">
                  <c:v>3.1923076923076925</c:v>
                </c:pt>
              </c:numCache>
            </c:numRef>
          </c:val>
        </c:ser>
        <c:marker val="1"/>
        <c:axId val="119208192"/>
        <c:axId val="119222272"/>
      </c:lineChart>
      <c:catAx>
        <c:axId val="119171712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9206272"/>
        <c:crosses val="autoZero"/>
        <c:lblAlgn val="ctr"/>
        <c:lblOffset val="100"/>
        <c:tickLblSkip val="1"/>
        <c:tickMarkSkip val="1"/>
      </c:catAx>
      <c:valAx>
        <c:axId val="119206272"/>
        <c:scaling>
          <c:orientation val="minMax"/>
          <c:max val="280"/>
          <c:min val="0"/>
        </c:scaling>
        <c:axPos val="l"/>
        <c:title>
          <c:tx>
            <c:rich>
              <a:bodyPr/>
              <a:lstStyle/>
              <a:p>
                <a:pPr>
                  <a:defRPr sz="1600">
                    <a:solidFill>
                      <a:srgbClr val="003399"/>
                    </a:solidFill>
                  </a:defRPr>
                </a:pPr>
                <a:r>
                  <a:rPr lang="es-MX" sz="1600">
                    <a:solidFill>
                      <a:srgbClr val="003399"/>
                    </a:solidFill>
                  </a:rPr>
                  <a:t>Alumnos Matriculados</a:t>
                </a:r>
              </a:p>
            </c:rich>
          </c:tx>
          <c:layout>
            <c:manualLayout>
              <c:xMode val="edge"/>
              <c:yMode val="edge"/>
              <c:x val="2.5157232704402552E-2"/>
              <c:y val="0.1593257205002719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9171712"/>
        <c:crosses val="autoZero"/>
        <c:crossBetween val="between"/>
        <c:majorUnit val="50"/>
      </c:valAx>
      <c:catAx>
        <c:axId val="119208192"/>
        <c:scaling>
          <c:orientation val="minMax"/>
        </c:scaling>
        <c:delete val="1"/>
        <c:axPos val="b"/>
        <c:numFmt formatCode="General" sourceLinked="1"/>
        <c:tickLblPos val="none"/>
        <c:crossAx val="119222272"/>
        <c:crosses val="autoZero"/>
        <c:lblAlgn val="ctr"/>
        <c:lblOffset val="100"/>
      </c:catAx>
      <c:valAx>
        <c:axId val="119222272"/>
        <c:scaling>
          <c:orientation val="minMax"/>
          <c:max val="6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19208192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9001390315730569"/>
          <c:w val="1"/>
          <c:h val="0.20998609684269406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>
              <a:latin typeface="Arial" pitchFamily="34" charset="0"/>
              <a:ea typeface="Arial Unicode MS" pitchFamily="34" charset="-128"/>
              <a:cs typeface="Arial" pitchFamily="34" charset="0"/>
            </a:defRPr>
          </a:pPr>
          <a:endParaRPr lang="es-MX"/>
        </a:p>
      </c:txPr>
    </c:legend>
    <c:plotVisOnly val="1"/>
    <c:dispBlanksAs val="gap"/>
  </c:chart>
  <c:spPr>
    <a:noFill/>
    <a:ln w="22225">
      <a:noFill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2000" b="1" i="0" u="none" strike="noStrike" baseline="0">
          <a:solidFill>
            <a:srgbClr val="3333CC"/>
          </a:solidFill>
          <a:latin typeface="Arial" pitchFamily="34" charset="0"/>
          <a:ea typeface="Arial"/>
          <a:cs typeface="Arial" pitchFamily="34" charset="0"/>
        </a:defRPr>
      </a:pPr>
      <a:endParaRPr lang="es-MX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764705882352942"/>
          <c:y val="3.9151712887438822E-2"/>
          <c:w val="0.78912319644840001"/>
          <c:h val="0.7862969004893966"/>
        </c:manualLayout>
      </c:layout>
      <c:barChart>
        <c:barDir val="col"/>
        <c:grouping val="clustered"/>
        <c:ser>
          <c:idx val="1"/>
          <c:order val="0"/>
          <c:tx>
            <c:strRef>
              <c:f>'Datos '!$I$375</c:f>
              <c:strCache>
                <c:ptCount val="1"/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9552349241582434E-4"/>
                  <c:y val="5.059459737190278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9237883832779777E-4"/>
                  <c:y val="4.863529905417618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802811690713958E-3"/>
                  <c:y val="7.58375186788438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5830558638550066E-4"/>
                  <c:y val="7.542014018231410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6.3633000369952512E-4"/>
                  <c:y val="0.1065412989771061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'!$Q$376:$Q$376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'!$Q$377:$Q$377</c:f>
              <c:numCache>
                <c:formatCode>_-"$"* #,##0_-;\-"$"* #,##0_-;_-"$"* "-"??_-;_-@_-</c:formatCode>
                <c:ptCount val="1"/>
                <c:pt idx="0">
                  <c:v>28143</c:v>
                </c:pt>
              </c:numCache>
            </c:numRef>
          </c:val>
        </c:ser>
        <c:dLbls>
          <c:showVal val="1"/>
        </c:dLbls>
        <c:axId val="119274496"/>
        <c:axId val="119296768"/>
      </c:barChart>
      <c:lineChart>
        <c:grouping val="standard"/>
        <c:ser>
          <c:idx val="2"/>
          <c:order val="1"/>
          <c:tx>
            <c:strRef>
              <c:f>'Datos '!$I$379</c:f>
              <c:strCache>
                <c:ptCount val="1"/>
                <c:pt idx="0">
                  <c:v>Ingresos por Persona (miles $)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7476935804778712E-2"/>
                  <c:y val="-4.04091576644273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369277647175692E-2"/>
                  <c:y val="-4.6017991633590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0140642797008866E-2"/>
                  <c:y val="-4.075186360269397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483595072258612E-2"/>
                  <c:y val="-4.457866094633897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705570654944656E-2"/>
                  <c:y val="-3.4361194247130203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'!$Q$376:$Q$376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'!$Q$380:$Q$380</c:f>
              <c:numCache>
                <c:formatCode>#,##0.0</c:formatCode>
                <c:ptCount val="1"/>
                <c:pt idx="0">
                  <c:v>216.48461538461538</c:v>
                </c:pt>
              </c:numCache>
            </c:numRef>
          </c:val>
        </c:ser>
        <c:dLbls>
          <c:showVal val="1"/>
        </c:dLbls>
        <c:marker val="1"/>
        <c:axId val="119298688"/>
        <c:axId val="119308672"/>
      </c:lineChart>
      <c:catAx>
        <c:axId val="1192744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296768"/>
        <c:crosses val="autoZero"/>
        <c:lblAlgn val="ctr"/>
        <c:lblOffset val="100"/>
        <c:tickLblSkip val="1"/>
        <c:tickMarkSkip val="1"/>
      </c:catAx>
      <c:valAx>
        <c:axId val="1192967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_-&quot;$&quot;* #,##0_-;\-&quot;$&quot;* #,##0_-;_-&quot;$&quot;* &quot;-&quot;??_-;_-@_-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274496"/>
        <c:crosses val="autoZero"/>
        <c:crossBetween val="between"/>
      </c:valAx>
      <c:catAx>
        <c:axId val="119298688"/>
        <c:scaling>
          <c:orientation val="minMax"/>
        </c:scaling>
        <c:delete val="1"/>
        <c:axPos val="b"/>
        <c:numFmt formatCode="General" sourceLinked="1"/>
        <c:tickLblPos val="none"/>
        <c:crossAx val="119308672"/>
        <c:crosses val="autoZero"/>
        <c:lblAlgn val="ctr"/>
        <c:lblOffset val="100"/>
      </c:catAx>
      <c:valAx>
        <c:axId val="119308672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6337402885682577"/>
              <c:y val="0.3523654159869559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29868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527192008879495E-2"/>
          <c:y val="0.88254486133768351"/>
          <c:w val="0.86903440621532491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8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1.9329387659566707E-2"/>
          <c:y val="0.2398741880112584"/>
          <c:w val="0.96962524796354121"/>
          <c:h val="0.70215493967956377"/>
        </c:manualLayout>
      </c:layout>
      <c:barChart>
        <c:barDir val="col"/>
        <c:grouping val="clustered"/>
        <c:ser>
          <c:idx val="0"/>
          <c:order val="0"/>
          <c:tx>
            <c:strRef>
              <c:f>'Datos '!$I$337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60000"/>
                <a:lstStyle/>
                <a:p>
                  <a:pPr>
                    <a:defRPr sz="1800" b="1" i="0" u="none" strike="noStrike" baseline="0">
                      <a:solidFill>
                        <a:sysClr val="windowText" lastClr="000000"/>
                      </a:solidFill>
                      <a:latin typeface="Calibri" pitchFamily="34" charset="0"/>
                      <a:ea typeface="Calibri"/>
                      <a:cs typeface="Calibri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ysClr val="windowText" lastClr="000000"/>
                    </a:solidFill>
                    <a:latin typeface="Calibri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'!$T$336:$X$336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'!$T$337:$X$337</c:f>
              <c:numCache>
                <c:formatCode>General</c:formatCode>
                <c:ptCount val="5"/>
                <c:pt idx="0" formatCode="0">
                  <c:v>83</c:v>
                </c:pt>
                <c:pt idx="1">
                  <c:v>75</c:v>
                </c:pt>
                <c:pt idx="2" formatCode="#,##0">
                  <c:v>64</c:v>
                </c:pt>
                <c:pt idx="3" formatCode="#,##0">
                  <c:v>67</c:v>
                </c:pt>
                <c:pt idx="4" formatCode="#,##0">
                  <c:v>51</c:v>
                </c:pt>
              </c:numCache>
            </c:numRef>
          </c:val>
        </c:ser>
        <c:ser>
          <c:idx val="1"/>
          <c:order val="1"/>
          <c:tx>
            <c:strRef>
              <c:f>'Datos '!$I$338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'!$T$336:$X$336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'!$T$338:$X$338</c:f>
              <c:numCache>
                <c:formatCode>General</c:formatCode>
                <c:ptCount val="5"/>
                <c:pt idx="0" formatCode="0">
                  <c:v>76</c:v>
                </c:pt>
                <c:pt idx="1">
                  <c:v>80</c:v>
                </c:pt>
                <c:pt idx="2" formatCode="#,##0">
                  <c:v>110</c:v>
                </c:pt>
                <c:pt idx="3" formatCode="#,##0">
                  <c:v>114</c:v>
                </c:pt>
                <c:pt idx="4" formatCode="#,##0">
                  <c:v>54</c:v>
                </c:pt>
              </c:numCache>
            </c:numRef>
          </c:val>
        </c:ser>
        <c:ser>
          <c:idx val="2"/>
          <c:order val="2"/>
          <c:tx>
            <c:strRef>
              <c:f>'Datos '!$I$339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'!$T$336:$X$336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'!$T$339:$X$339</c:f>
              <c:numCache>
                <c:formatCode>General</c:formatCode>
                <c:ptCount val="5"/>
                <c:pt idx="0" formatCode="0">
                  <c:v>75</c:v>
                </c:pt>
                <c:pt idx="1">
                  <c:v>105</c:v>
                </c:pt>
                <c:pt idx="2" formatCode="#,##0">
                  <c:v>62</c:v>
                </c:pt>
                <c:pt idx="3" formatCode="#,##0">
                  <c:v>56</c:v>
                </c:pt>
                <c:pt idx="4" formatCode="#,##0">
                  <c:v>136</c:v>
                </c:pt>
              </c:numCache>
            </c:numRef>
          </c:val>
        </c:ser>
        <c:ser>
          <c:idx val="3"/>
          <c:order val="3"/>
          <c:tx>
            <c:strRef>
              <c:f>'Datos '!$I$340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>
                    <a:latin typeface="+mn-lt"/>
                  </a:defRPr>
                </a:pPr>
                <a:endParaRPr lang="es-MX"/>
              </a:p>
            </c:txPr>
            <c:showVal val="1"/>
          </c:dLbls>
          <c:cat>
            <c:strRef>
              <c:f>'Datos '!$T$336:$X$336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'!$T$340:$X$340</c:f>
              <c:numCache>
                <c:formatCode>General</c:formatCode>
                <c:ptCount val="5"/>
                <c:pt idx="0" formatCode="0">
                  <c:v>24</c:v>
                </c:pt>
                <c:pt idx="1">
                  <c:v>19</c:v>
                </c:pt>
                <c:pt idx="2" formatCode="#,##0">
                  <c:v>49</c:v>
                </c:pt>
                <c:pt idx="3" formatCode="#,##0">
                  <c:v>53</c:v>
                </c:pt>
                <c:pt idx="4" formatCode="#,##0">
                  <c:v>62</c:v>
                </c:pt>
              </c:numCache>
            </c:numRef>
          </c:val>
        </c:ser>
        <c:dLbls>
          <c:showVal val="1"/>
        </c:dLbls>
        <c:gapWidth val="58"/>
        <c:overlap val="-5"/>
        <c:axId val="119404416"/>
        <c:axId val="119405952"/>
      </c:barChart>
      <c:lineChart>
        <c:grouping val="standard"/>
        <c:ser>
          <c:idx val="4"/>
          <c:order val="4"/>
          <c:tx>
            <c:strRef>
              <c:f>'Datos '!$I$341</c:f>
              <c:strCache>
                <c:ptCount val="1"/>
                <c:pt idx="0">
                  <c:v>TOTAL</c:v>
                </c:pt>
              </c:strCache>
            </c:strRef>
          </c:tx>
          <c:spPr>
            <a:ln w="47625">
              <a:solidFill>
                <a:schemeClr val="accent1">
                  <a:lumMod val="50000"/>
                </a:schemeClr>
              </a:solidFill>
            </a:ln>
          </c:spPr>
          <c:marker>
            <c:symbol val="x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6232740395126252E-2"/>
                  <c:y val="4.0776697990044429E-2"/>
                </c:manualLayout>
              </c:layout>
              <c:showVal val="1"/>
            </c:dLbl>
            <c:dLbl>
              <c:idx val="1"/>
              <c:layout>
                <c:manualLayout>
                  <c:x val="-3.3136093130685669E-2"/>
                  <c:y val="4.5307442211160162E-2"/>
                </c:manualLayout>
              </c:layout>
              <c:showVal val="1"/>
            </c:dLbl>
            <c:dLbl>
              <c:idx val="2"/>
              <c:layout>
                <c:manualLayout>
                  <c:x val="-2.8994081489349982E-2"/>
                  <c:y val="3.6245953768928196E-2"/>
                </c:manualLayout>
              </c:layout>
              <c:showVal val="1"/>
            </c:dLbl>
            <c:dLbl>
              <c:idx val="3"/>
              <c:layout>
                <c:manualLayout>
                  <c:x val="-2.8994081489349982E-2"/>
                  <c:y val="3.3980581658370111E-2"/>
                </c:manualLayout>
              </c:layout>
              <c:showVal val="1"/>
            </c:dLbl>
            <c:dLbl>
              <c:idx val="4"/>
              <c:layout>
                <c:manualLayout>
                  <c:x val="-2.8994081489350076E-2"/>
                  <c:y val="3.8511325879486191E-2"/>
                </c:manualLayout>
              </c:layout>
              <c:showVal val="1"/>
            </c:dLbl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'!$T$336:$X$336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'!$T$341:$X$341</c:f>
              <c:numCache>
                <c:formatCode>#,##0</c:formatCode>
                <c:ptCount val="5"/>
                <c:pt idx="0">
                  <c:v>258</c:v>
                </c:pt>
                <c:pt idx="1">
                  <c:v>279</c:v>
                </c:pt>
                <c:pt idx="2">
                  <c:v>285</c:v>
                </c:pt>
                <c:pt idx="3">
                  <c:v>290</c:v>
                </c:pt>
                <c:pt idx="4">
                  <c:v>303</c:v>
                </c:pt>
              </c:numCache>
            </c:numRef>
          </c:val>
        </c:ser>
        <c:marker val="1"/>
        <c:axId val="119404416"/>
        <c:axId val="119405952"/>
      </c:lineChart>
      <c:catAx>
        <c:axId val="1194044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119405952"/>
        <c:crosses val="autoZero"/>
        <c:auto val="1"/>
        <c:lblAlgn val="ctr"/>
        <c:lblOffset val="100"/>
      </c:catAx>
      <c:valAx>
        <c:axId val="119405952"/>
        <c:scaling>
          <c:orientation val="minMax"/>
        </c:scaling>
        <c:delete val="1"/>
        <c:axPos val="l"/>
        <c:numFmt formatCode="0" sourceLinked="1"/>
        <c:tickLblPos val="none"/>
        <c:crossAx val="1194044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spPr>
        <a:noFill/>
        <a:ln w="25400">
          <a:noFill/>
        </a:ln>
      </c:spPr>
      <c:txPr>
        <a:bodyPr/>
        <a:lstStyle/>
        <a:p>
          <a:pPr rtl="0">
            <a:defRPr sz="1800" b="1" i="0" u="none" strike="noStrike" baseline="0">
              <a:solidFill>
                <a:schemeClr val="bg1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zero"/>
  </c:chart>
  <c:spPr>
    <a:gradFill>
      <a:gsLst>
        <a:gs pos="4000">
          <a:srgbClr val="003399"/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14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8.4350721420643732E-2"/>
          <c:y val="0.19086460032626426"/>
          <c:w val="0.88679245283019925"/>
          <c:h val="0.47797716150082253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'!$I$363</c:f>
              <c:strCache>
                <c:ptCount val="1"/>
                <c:pt idx="0">
                  <c:v>Citas Promedio por Investigador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8579501924080003E-3"/>
                  <c:y val="-1.148981173438160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250450796869281E-3"/>
                  <c:y val="-1.271334557894779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024854273904225E-3"/>
                  <c:y val="-1.556820079382410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3595858786242491E-3"/>
                  <c:y val="-1.0184754638133769E-2"/>
                </c:manualLayout>
              </c:layout>
              <c:dLblPos val="outEnd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'!$P$362:$S$362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</c:numCache>
            </c:numRef>
          </c:cat>
          <c:val>
            <c:numRef>
              <c:f>'Datos '!$P$363:$S$363</c:f>
              <c:numCache>
                <c:formatCode>#,##0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</c:numCache>
            </c:numRef>
          </c:val>
        </c:ser>
        <c:dLbls>
          <c:showVal val="1"/>
        </c:dLbls>
        <c:axId val="119677696"/>
        <c:axId val="119679232"/>
      </c:barChart>
      <c:catAx>
        <c:axId val="119677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679232"/>
        <c:crosses val="autoZero"/>
        <c:lblAlgn val="ctr"/>
        <c:lblOffset val="100"/>
        <c:tickLblSkip val="1"/>
        <c:tickMarkSkip val="1"/>
      </c:catAx>
      <c:valAx>
        <c:axId val="1196792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Citas Promedio por Investigador</a:t>
                </a:r>
              </a:p>
            </c:rich>
          </c:tx>
          <c:layout>
            <c:manualLayout>
              <c:xMode val="edge"/>
              <c:yMode val="edge"/>
              <c:x val="0"/>
              <c:y val="0.14845024469820778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67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</a:t>
            </a:r>
          </a:p>
        </c:rich>
      </c:tx>
      <c:layout>
        <c:manualLayout>
          <c:xMode val="edge"/>
          <c:yMode val="edge"/>
          <c:x val="0.4217536071032188"/>
          <c:y val="1.95758564437197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592674805772814E-2"/>
          <c:y val="2.9363784665579151E-2"/>
          <c:w val="0.8368479467258606"/>
          <c:h val="0.61827079934747164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207587952726841E-3"/>
                  <c:y val="0.63947797716151011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7.7021448900484133E-5"/>
                  <c:y val="0.63947797716151011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647099606444841E-3"/>
                  <c:y val="0.6362153344208935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4294819695822903E-4"/>
                  <c:y val="0.63458401305058676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8890529915727992E-4"/>
                  <c:y val="0.63458401305058676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'!$I$84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8729845228836364E-3"/>
                  <c:y val="0.64110929853182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1.0644340933520838E-3"/>
                  <c:y val="3.69875788364954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3.5061655028971171E-3"/>
                  <c:y val="8.575355486763252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007917711728955E-3"/>
                  <c:y val="1.72380573146140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298932944148355E-3"/>
                  <c:y val="4.0358976335135993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'!$Q$84:$Q$84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2"/>
          <c:order val="2"/>
          <c:tx>
            <c:strRef>
              <c:f>'Datos '!$I$85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418744410555593E-3"/>
                  <c:y val="6.101227558626962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998569684894121E-3"/>
                  <c:y val="1.741788801685316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078011891133014E-3"/>
                  <c:y val="-2.979709102430707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7858256064274048E-3"/>
                  <c:y val="2.34927404058180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8756616299765786E-3"/>
                  <c:y val="5.9652412942673731E-3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'!$Q$85:$Q$85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ser>
          <c:idx val="3"/>
          <c:order val="3"/>
          <c:tx>
            <c:strRef>
              <c:f>'Datos '!$I$86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377180793577477E-4"/>
                  <c:y val="3.668854606877244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6.357473906216716E-4"/>
                  <c:y val="5.963580001113238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4719107669809903E-3"/>
                  <c:y val="3.840139069076461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0179357436016044E-5"/>
                  <c:y val="5.264826399147090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9179622524982643E-4"/>
                  <c:y val="3.815664966838360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'!$Q$86:$Q$86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dLbls>
          <c:showVal val="1"/>
        </c:dLbls>
        <c:axId val="120117120"/>
        <c:axId val="120118656"/>
      </c:barChart>
      <c:lineChart>
        <c:grouping val="standard"/>
        <c:ser>
          <c:idx val="4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3.3740288568257476E-2"/>
                  <c:y val="-2.80839038676448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968923418424489E-2"/>
                  <c:y val="-2.756376496983548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735849056604563E-2"/>
                  <c:y val="-2.403617166125041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5294117647058802E-2"/>
                  <c:y val="-1.854054540082982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7302996670366612E-2"/>
                  <c:y val="-2.7808505992215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'!$I$88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1.8571957084720668E-2"/>
                  <c:y val="-2.762507867593267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789493155752828E-2"/>
                  <c:y val="-3.42216113687257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007029226785051E-2"/>
                  <c:y val="-3.275350776911522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25786163522077E-2"/>
                  <c:y val="-3.47211981862789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112467628560855E-2"/>
                  <c:y val="-3.582244715332279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'!$Q$88:$Q$88</c:f>
              <c:numCache>
                <c:formatCode>General</c:formatCode>
                <c:ptCount val="1"/>
                <c:pt idx="0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'!$I$90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dLbl>
              <c:idx val="0"/>
              <c:layout>
                <c:manualLayout>
                  <c:x val="-3.9659637439881636E-2"/>
                  <c:y val="-2.0745783612284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314465408805194E-3"/>
                  <c:y val="-1.757459762880370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8094709581946934E-3"/>
                  <c:y val="-2.23334318120512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9171291157974534E-3"/>
                  <c:y val="-2.030031727273895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793932667406622E-2"/>
                  <c:y val="-2.380376188702406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'!$Q$90:$Q$90</c:f>
              <c:numCache>
                <c:formatCode>#,##0.0</c:formatCode>
                <c:ptCount val="1"/>
                <c:pt idx="0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'!$I$91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'!$Q$83:$Q$83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'!$Q$91:$Q$91</c:f>
              <c:numCache>
                <c:formatCode>#,##0.0</c:formatCode>
                <c:ptCount val="1"/>
                <c:pt idx="0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120145408"/>
        <c:axId val="120146944"/>
      </c:lineChart>
      <c:catAx>
        <c:axId val="1201171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118656"/>
        <c:crosses val="autoZero"/>
        <c:lblAlgn val="ctr"/>
        <c:lblOffset val="100"/>
        <c:tickLblSkip val="1"/>
        <c:tickMarkSkip val="1"/>
      </c:catAx>
      <c:valAx>
        <c:axId val="1201186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 Vigentes</a:t>
                </a:r>
              </a:p>
            </c:rich>
          </c:tx>
          <c:layout>
            <c:manualLayout>
              <c:xMode val="edge"/>
              <c:yMode val="edge"/>
              <c:x val="0"/>
              <c:y val="0.140293637846655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117120"/>
        <c:crosses val="autoZero"/>
        <c:crossBetween val="between"/>
      </c:valAx>
      <c:catAx>
        <c:axId val="120145408"/>
        <c:scaling>
          <c:orientation val="minMax"/>
        </c:scaling>
        <c:delete val="1"/>
        <c:axPos val="b"/>
        <c:numFmt formatCode="General" sourceLinked="1"/>
        <c:tickLblPos val="none"/>
        <c:crossAx val="120146944"/>
        <c:crosses val="autoZero"/>
        <c:lblAlgn val="ctr"/>
        <c:lblOffset val="100"/>
      </c:catAx>
      <c:valAx>
        <c:axId val="120146944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Índice</a:t>
                </a:r>
              </a:p>
            </c:rich>
          </c:tx>
          <c:layout>
            <c:manualLayout>
              <c:xMode val="edge"/>
              <c:yMode val="edge"/>
              <c:x val="0.95116537180910099"/>
              <c:y val="0.295269168026101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14540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493895671476137E-3"/>
          <c:y val="0.72593800978792256"/>
          <c:w val="0.99334073251943233"/>
          <c:h val="0.25448613376835338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1582213029989658"/>
          <c:y val="0.17288135593220341"/>
          <c:w val="0.7776628748707346"/>
          <c:h val="0.50677966101694916"/>
        </c:manualLayout>
      </c:layout>
      <c:barChart>
        <c:barDir val="col"/>
        <c:grouping val="clustered"/>
        <c:ser>
          <c:idx val="0"/>
          <c:order val="0"/>
          <c:tx>
            <c:strRef>
              <c:f>'Datos '!$I$574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9806691691978433E-3"/>
                  <c:y val="-2.24945949552915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9634065907222134E-3"/>
                  <c:y val="-2.93441879087148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2581814036430721E-2"/>
                  <c:y val="-3.30925752924951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823017856996639E-3"/>
                  <c:y val="-2.708981716268590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027774837348106E-3"/>
                  <c:y val="-2.727701410205129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'!$R$573:$V$573</c:f>
            </c:multiLvlStrRef>
          </c:cat>
          <c:val>
            <c:numRef>
              <c:f>'Datos '!$R$574:$V$574</c:f>
            </c:numRef>
          </c:val>
        </c:ser>
        <c:dLbls>
          <c:showVal val="1"/>
        </c:dLbls>
        <c:axId val="120266752"/>
        <c:axId val="120268288"/>
      </c:barChart>
      <c:catAx>
        <c:axId val="1202667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268288"/>
        <c:crosses val="autoZero"/>
        <c:auto val="1"/>
        <c:lblAlgn val="ctr"/>
        <c:lblOffset val="100"/>
        <c:tickLblSkip val="1"/>
        <c:tickMarkSkip val="1"/>
      </c:catAx>
      <c:valAx>
        <c:axId val="1202682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2610169491525485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26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252326783867626E-2"/>
          <c:y val="0.77457627118644068"/>
          <c:w val="0.92554291623578655"/>
          <c:h val="0.16610169491525487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0465356773644"/>
          <c:y val="7.1751412429378533E-2"/>
          <c:w val="0.73216132368149844"/>
          <c:h val="0.63728813559322062"/>
        </c:manualLayout>
      </c:layout>
      <c:barChart>
        <c:barDir val="col"/>
        <c:grouping val="clustered"/>
        <c:ser>
          <c:idx val="0"/>
          <c:order val="0"/>
          <c:tx>
            <c:strRef>
              <c:f>'Datos '!$I$573</c:f>
              <c:strCache>
                <c:ptCount val="1"/>
                <c:pt idx="0">
                  <c:v>Ingresos Totales (millones $)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744266842549546E-3"/>
                  <c:y val="1.21046309889229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2607762188984324E-3"/>
                  <c:y val="9.309666800124858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017756570500811E-2"/>
                  <c:y val="-2.935539837181369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7099316825315189E-3"/>
                  <c:y val="-2.534845856132391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704676910215601E-3"/>
                  <c:y val="9.0084078473243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'!$R$573:$V$573</c:f>
            </c:numRef>
          </c:val>
        </c:ser>
        <c:ser>
          <c:idx val="1"/>
          <c:order val="1"/>
          <c:tx>
            <c:strRef>
              <c:f>'Datos '!$I$574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5153395380903138E-3"/>
                  <c:y val="2.033898305084753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2051939732973627E-3"/>
                  <c:y val="1.270394590506704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6869881957620988E-3"/>
                  <c:y val="1.6122781262512199E-2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'!$R$574:$V$574</c:f>
            </c:numRef>
          </c:val>
        </c:ser>
        <c:ser>
          <c:idx val="2"/>
          <c:order val="2"/>
          <c:tx>
            <c:strRef>
              <c:f>'Datos '!$I$575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5352620736265487E-2"/>
                  <c:y val="-7.114195471328796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0799018530129852E-2"/>
                  <c:y val="-5.97855776502521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234385644917906E-2"/>
                  <c:y val="-8.368165843676320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0923113669736482E-2"/>
                  <c:y val="-5.386716490947210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3270797199988063E-2"/>
                  <c:y val="-4.2667378442101519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'!$R$575:$V$575</c:f>
            </c:numRef>
          </c:val>
        </c:ser>
        <c:ser>
          <c:idx val="3"/>
          <c:order val="3"/>
          <c:tx>
            <c:strRef>
              <c:f>'Datos '!$I$576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4988342331050271E-4"/>
                  <c:y val="-1.92802170915080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2940772527529365E-4"/>
                  <c:y val="-2.06575025579429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7113105174160807E-3"/>
                  <c:y val="-4.273143823123934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7002716956140908E-3"/>
                  <c:y val="-4.3105120334534343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'!$R$576:$V$576</c:f>
            </c:numRef>
          </c:val>
        </c:ser>
        <c:ser>
          <c:idx val="4"/>
          <c:order val="4"/>
          <c:tx>
            <c:strRef>
              <c:f>'Datos '!$I$577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'Datos '!$R$577:$V$577</c:f>
            </c:numRef>
          </c:val>
        </c:ser>
        <c:dLbls>
          <c:showVal val="1"/>
        </c:dLbls>
        <c:axId val="120388224"/>
        <c:axId val="120217984"/>
      </c:barChart>
      <c:catAx>
        <c:axId val="1203882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217984"/>
        <c:crosses val="autoZero"/>
        <c:auto val="1"/>
        <c:lblAlgn val="ctr"/>
        <c:lblOffset val="100"/>
        <c:tickLblSkip val="1"/>
        <c:tickMarkSkip val="1"/>
      </c:catAx>
      <c:valAx>
        <c:axId val="1202179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235593220338983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388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730093071354746E-3"/>
          <c:y val="0.81016949152542372"/>
          <c:w val="0.69017102438203493"/>
          <c:h val="0.18983050847457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114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15912200209158095"/>
          <c:y val="0.1941272430668842"/>
          <c:w val="0.79948205697373287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'!$I$367</c:f>
              <c:strCache>
                <c:ptCount val="1"/>
                <c:pt idx="0">
                  <c:v>No. de Servicios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'!$Q$366:$Q$366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'!$Q$367:$Q$367</c:f>
              <c:numCache>
                <c:formatCode>0</c:formatCode>
                <c:ptCount val="1"/>
                <c:pt idx="0">
                  <c:v>901</c:v>
                </c:pt>
              </c:numCache>
            </c:numRef>
          </c:val>
        </c:ser>
        <c:dLbls>
          <c:showVal val="1"/>
        </c:dLbls>
        <c:axId val="109372928"/>
        <c:axId val="109374464"/>
      </c:barChart>
      <c:catAx>
        <c:axId val="109372928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09374464"/>
        <c:crosses val="autoZero"/>
        <c:lblAlgn val="ctr"/>
        <c:lblOffset val="100"/>
        <c:tickLblSkip val="1"/>
        <c:tickMarkSkip val="1"/>
      </c:catAx>
      <c:valAx>
        <c:axId val="109374464"/>
        <c:scaling>
          <c:orientation val="minMax"/>
          <c:max val="1100"/>
          <c:min val="80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/>
                  <a:t>Número </a:t>
                </a:r>
              </a:p>
            </c:rich>
          </c:tx>
          <c:layout>
            <c:manualLayout>
              <c:xMode val="edge"/>
              <c:yMode val="edge"/>
              <c:x val="1.9237883832778403E-2"/>
              <c:y val="0.35889070146818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09372928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3416063426404725E-2"/>
          <c:y val="5.5932203389830584E-2"/>
          <c:w val="0.8948638400551534"/>
          <c:h val="0.88413933004137191"/>
        </c:manualLayout>
      </c:layout>
      <c:barChart>
        <c:barDir val="col"/>
        <c:grouping val="clustered"/>
        <c:ser>
          <c:idx val="1"/>
          <c:order val="0"/>
          <c:tx>
            <c:strRef>
              <c:f>'Datos '!$I$620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1096173733195752E-3"/>
                  <c:y val="9.77107522576632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91416752844148E-3"/>
                  <c:y val="3.457093287068011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9027921406411684E-3"/>
                  <c:y val="8.58988389163232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21932160237461E-3"/>
                  <c:y val="6.072690066284203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'!$L$620:$P$620</c:f>
              <c:numCache>
                <c:formatCode>#,##0</c:formatCode>
                <c:ptCount val="1"/>
                <c:pt idx="0">
                  <c:v>93.757604189999995</c:v>
                </c:pt>
              </c:numCache>
            </c:numRef>
          </c:val>
        </c:ser>
        <c:ser>
          <c:idx val="0"/>
          <c:order val="1"/>
          <c:tx>
            <c:strRef>
              <c:f>'Datos '!$I$621</c:f>
              <c:strCache>
                <c:ptCount val="1"/>
                <c:pt idx="0">
                  <c:v>Materiales y Suministros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7335673009850773E-3"/>
                  <c:y val="1.649984429912358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89654395578921E-3"/>
                  <c:y val="1.510761154855638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5848974152272833E-4"/>
                  <c:y val="8.421371057431369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721402068795586E-4"/>
                  <c:y val="9.402019662796306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'!$L$621:$P$621</c:f>
              <c:numCache>
                <c:formatCode>#,##0</c:formatCode>
                <c:ptCount val="1"/>
                <c:pt idx="0">
                  <c:v>7.2614248200000002</c:v>
                </c:pt>
              </c:numCache>
            </c:numRef>
          </c:val>
        </c:ser>
        <c:ser>
          <c:idx val="5"/>
          <c:order val="2"/>
          <c:tx>
            <c:strRef>
              <c:f>'Datos '!$I$622</c:f>
              <c:strCache>
                <c:ptCount val="1"/>
                <c:pt idx="0">
                  <c:v>Servicios Generales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0130989314030004E-3"/>
                  <c:y val="5.899372747897981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92623233367838E-3"/>
                  <c:y val="8.431691801236710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06273698724502E-3"/>
                  <c:y val="1.226157747230769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4.8954066884349438E-4"/>
                  <c:y val="6.0129009297566951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'!$L$622:$P$622</c:f>
              <c:numCache>
                <c:formatCode>#,##0</c:formatCode>
                <c:ptCount val="1"/>
                <c:pt idx="0">
                  <c:v>36.044077420000001</c:v>
                </c:pt>
              </c:numCache>
            </c:numRef>
          </c:val>
        </c:ser>
        <c:ser>
          <c:idx val="6"/>
          <c:order val="3"/>
          <c:tx>
            <c:strRef>
              <c:f>'Datos '!$I$623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653296311074076E-4"/>
                  <c:y val="1.842608656968751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6008544433497013E-3"/>
                  <c:y val="9.42105965567855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2742415729579034E-4"/>
                  <c:y val="1.921971617954457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0341261633919547E-3"/>
                  <c:y val="4.68615151919568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'!$L$623:$P$623</c:f>
              <c:numCache>
                <c:formatCode>#,##0</c:formatCode>
                <c:ptCount val="1"/>
                <c:pt idx="0">
                  <c:v>19.420928410000002</c:v>
                </c:pt>
              </c:numCache>
            </c:numRef>
          </c:val>
        </c:ser>
        <c:ser>
          <c:idx val="2"/>
          <c:order val="4"/>
          <c:tx>
            <c:strRef>
              <c:f>'Datos '!$I$624</c:f>
              <c:strCache>
                <c:ptCount val="1"/>
                <c:pt idx="0">
                  <c:v>Bienes Muebles e Inmuebles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376003930222166E-3"/>
                  <c:y val="1.56950042261665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512508583790201E-3"/>
                  <c:y val="9.8876284532230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99027487127729E-3"/>
                  <c:y val="1.22293696338805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444256257006341E-3"/>
                  <c:y val="5.686551892877783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1065421372483818E-3"/>
                  <c:y val="6.0718003469905513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'!$L$624:$P$624</c:f>
              <c:numCache>
                <c:formatCode>#,##0</c:formatCode>
                <c:ptCount val="1"/>
                <c:pt idx="0">
                  <c:v>5.2701361699999998</c:v>
                </c:pt>
              </c:numCache>
            </c:numRef>
          </c:val>
        </c:ser>
        <c:ser>
          <c:idx val="3"/>
          <c:order val="5"/>
          <c:tx>
            <c:strRef>
              <c:f>'Datos '!$I$625</c:f>
              <c:strCache>
                <c:ptCount val="1"/>
                <c:pt idx="0">
                  <c:v>Obra Pública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7111612341116548E-3"/>
                  <c:y val="1.575995373459671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0906855360763467E-3"/>
                  <c:y val="1.2359802482316752E-2"/>
                </c:manualLayout>
              </c:layout>
              <c:dLblPos val="outEnd"/>
              <c:showVal val="1"/>
            </c:dLbl>
            <c:dLbl>
              <c:idx val="2"/>
              <c:delete val="1"/>
            </c:dLbl>
            <c:dLbl>
              <c:idx val="3"/>
              <c:layout>
                <c:manualLayout>
                  <c:x val="1.503277447092642E-2"/>
                  <c:y val="-5.2733662529472914E-3"/>
                </c:manualLayout>
              </c:layout>
              <c:tx>
                <c:rich>
                  <a:bodyPr/>
                  <a:lstStyle/>
                  <a:p>
                    <a:r>
                      <a:t>
</a:t>
                    </a:r>
                  </a:p>
                </c:rich>
              </c:tx>
              <c:dLblPos val="outEnd"/>
            </c:dLbl>
            <c:dLbl>
              <c:idx val="4"/>
              <c:layout>
                <c:manualLayout>
                  <c:x val="5.1679165750610005E-5"/>
                  <c:y val="9.607188931891989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'!$L$625:$P$625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</c:ser>
        <c:dLbls>
          <c:showVal val="1"/>
        </c:dLbls>
        <c:axId val="120406400"/>
        <c:axId val="120407936"/>
      </c:barChart>
      <c:lineChart>
        <c:grouping val="standard"/>
        <c:ser>
          <c:idx val="4"/>
          <c:order val="6"/>
          <c:tx>
            <c:strRef>
              <c:f>'Datos '!$I$627</c:f>
              <c:strCache>
                <c:ptCount val="1"/>
                <c:pt idx="0">
                  <c:v>Totales</c:v>
                </c:pt>
              </c:strCache>
            </c:strRef>
          </c:tx>
          <c:dLbls>
            <c:dLbl>
              <c:idx val="0"/>
              <c:layout>
                <c:manualLayout>
                  <c:x val="-1.6339193381592548E-2"/>
                  <c:y val="-3.0912585079407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1096173733195479E-2"/>
                  <c:y val="-3.48316206236939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2740434332989534E-2"/>
                  <c:y val="-3.119800702878243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4746639089968966E-2"/>
                  <c:y val="-2.61292762133546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3298862461220442E-2"/>
                  <c:y val="-3.7365007340184185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'!$L$619:$P$619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'!$L$627:$P$627</c:f>
              <c:numCache>
                <c:formatCode>#,##0</c:formatCode>
                <c:ptCount val="1"/>
                <c:pt idx="0">
                  <c:v>67.996566819999998</c:v>
                </c:pt>
              </c:numCache>
            </c:numRef>
          </c:val>
        </c:ser>
        <c:dLbls>
          <c:showVal val="1"/>
        </c:dLbls>
        <c:marker val="1"/>
        <c:axId val="120406400"/>
        <c:axId val="120407936"/>
      </c:lineChart>
      <c:catAx>
        <c:axId val="1204064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407936"/>
        <c:crosses val="autoZero"/>
        <c:lblAlgn val="ctr"/>
        <c:lblOffset val="100"/>
        <c:tickLblSkip val="1"/>
        <c:tickMarkSkip val="1"/>
      </c:catAx>
      <c:valAx>
        <c:axId val="1204079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310734463276907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406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4794898310930256E-2"/>
          <c:y val="2.2598870056497182E-2"/>
          <c:w val="0.27680110306791178"/>
          <c:h val="0.32203389830508738"/>
        </c:manualLayout>
      </c:layout>
      <c:spPr>
        <a:noFill/>
        <a:ln w="25400">
          <a:noFill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9011"/>
        </c:manualLayout>
      </c:layout>
      <c:barChart>
        <c:barDir val="col"/>
        <c:grouping val="clustered"/>
        <c:ser>
          <c:idx val="0"/>
          <c:order val="0"/>
          <c:tx>
            <c:strRef>
              <c:f>'Datos '!$I$423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7.0463891082902389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65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'!$X$423:$Y$423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'!$I$424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'!$X$424:$Y$424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'!$I$425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1236934318060504E-3"/>
                  <c:y val="-3.421326571466767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504E-3"/>
                  <c:y val="-5.116241825704102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'!$X$425:$Y$425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'!$I$426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'!$X$426:$Y$426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120665984"/>
        <c:axId val="120667520"/>
      </c:barChart>
      <c:catAx>
        <c:axId val="120665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667520"/>
        <c:crosses val="autoZero"/>
        <c:auto val="1"/>
        <c:lblAlgn val="ctr"/>
        <c:lblOffset val="100"/>
        <c:tickLblSkip val="1"/>
        <c:tickMarkSkip val="1"/>
      </c:catAx>
      <c:valAx>
        <c:axId val="1206675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6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028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9022"/>
        </c:manualLayout>
      </c:layout>
      <c:barChart>
        <c:barDir val="col"/>
        <c:grouping val="clustered"/>
        <c:ser>
          <c:idx val="0"/>
          <c:order val="0"/>
          <c:tx>
            <c:strRef>
              <c:f>'Datos '!$I$423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7.0463891082902406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68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'!$X$423:$Y$423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'!$I$424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'!$X$424:$Y$424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'!$I$425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4.1236934318060504E-3"/>
                  <c:y val="-3.421326571466768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507E-3"/>
                  <c:y val="-5.1162418257041037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'!$X$425:$Y$425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'!$I$426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scene3d>
              <a:camera prst="orthographicFront"/>
              <a:lightRig rig="morning" dir="t"/>
            </a:scene3d>
            <a:sp3d prstMaterial="metal">
              <a:bevelT w="114300" prst="artDeco"/>
              <a:bevelB w="114300" prst="artDeco"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'!$X$422:$Y$422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'!$X$426:$Y$426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119847936"/>
        <c:axId val="119874304"/>
      </c:barChart>
      <c:catAx>
        <c:axId val="119847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874304"/>
        <c:crosses val="autoZero"/>
        <c:auto val="1"/>
        <c:lblAlgn val="ctr"/>
        <c:lblOffset val="100"/>
        <c:tickLblSkip val="1"/>
        <c:tickMarkSkip val="1"/>
      </c:catAx>
      <c:valAx>
        <c:axId val="1198743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84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028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1003102378490727E-2"/>
          <c:y val="6.1016949152543416E-2"/>
          <c:w val="0.90899689762152036"/>
          <c:h val="0.86440677966101698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8498074245372039E-4"/>
                  <c:y val="5.813425864139650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136624080173551E-5"/>
                  <c:y val="-3.6850393700787812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'!$X$447:$Y$447</c:f>
              <c:numCache>
                <c:formatCode>#,##0.0</c:formatCode>
                <c:ptCount val="2"/>
                <c:pt idx="0">
                  <c:v>99.49804300000001</c:v>
                </c:pt>
                <c:pt idx="1">
                  <c:v>99.285917220000002</c:v>
                </c:pt>
              </c:numCache>
            </c:numRef>
          </c:val>
        </c:ser>
        <c:ser>
          <c:idx val="0"/>
          <c:order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'!$X$444:$Y$444</c:f>
              <c:numCache>
                <c:formatCode>#,##0.0</c:formatCode>
                <c:ptCount val="2"/>
                <c:pt idx="0">
                  <c:v>9.4329060000000009</c:v>
                </c:pt>
                <c:pt idx="1">
                  <c:v>11.03776117</c:v>
                </c:pt>
              </c:numCache>
            </c:numRef>
          </c:val>
        </c:ser>
        <c:ser>
          <c:idx val="2"/>
          <c:order val="2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'!$X$445:$Y$445</c:f>
              <c:numCache>
                <c:formatCode>#,##0.0</c:formatCode>
                <c:ptCount val="2"/>
                <c:pt idx="0">
                  <c:v>28.951544999999999</c:v>
                </c:pt>
                <c:pt idx="1">
                  <c:v>29.188256969999998</c:v>
                </c:pt>
              </c:numCache>
            </c:numRef>
          </c:val>
        </c:ser>
        <c:ser>
          <c:idx val="3"/>
          <c:order val="3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'!$X$442:$Y$442</c:f>
              <c:numCache>
                <c:formatCode>#,##0.0</c:formatCode>
                <c:ptCount val="2"/>
                <c:pt idx="0">
                  <c:v>5.3553000000000006</c:v>
                </c:pt>
                <c:pt idx="1">
                  <c:v>8.3280939999999983</c:v>
                </c:pt>
              </c:numCache>
            </c:numRef>
          </c:val>
        </c:ser>
        <c:ser>
          <c:idx val="4"/>
          <c:order val="4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'!$X$443:$Y$443</c:f>
              <c:numCache>
                <c:formatCode>#,##0.0</c:formatCode>
                <c:ptCount val="2"/>
                <c:pt idx="0">
                  <c:v>3</c:v>
                </c:pt>
                <c:pt idx="1">
                  <c:v>9.18070831</c:v>
                </c:pt>
              </c:numCache>
            </c:numRef>
          </c:val>
        </c:ser>
        <c:ser>
          <c:idx val="5"/>
          <c:order val="5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'!$X$441:$Y$441</c:f>
              <c:numCache>
                <c:formatCode>#,##0.0</c:formatCode>
                <c:ptCount val="2"/>
                <c:pt idx="0">
                  <c:v>0.5</c:v>
                </c:pt>
                <c:pt idx="1">
                  <c:v>0.38438484999999994</c:v>
                </c:pt>
              </c:numCache>
            </c:numRef>
          </c:val>
        </c:ser>
        <c:ser>
          <c:idx val="6"/>
          <c:order val="6"/>
          <c:dLbls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'!$X$440:$Y$440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'!$X$448:$Y$448</c:f>
              <c:numCache>
                <c:formatCode>#,##0.0</c:formatCode>
                <c:ptCount val="2"/>
                <c:pt idx="0">
                  <c:v>146.73779400000001</c:v>
                </c:pt>
                <c:pt idx="1">
                  <c:v>199.88615978999999</c:v>
                </c:pt>
              </c:numCache>
            </c:numRef>
          </c:val>
        </c:ser>
        <c:dLbls>
          <c:showVal val="1"/>
        </c:dLbls>
        <c:axId val="120856960"/>
        <c:axId val="120858496"/>
      </c:barChart>
      <c:catAx>
        <c:axId val="120856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858496"/>
        <c:crosses val="autoZero"/>
        <c:lblAlgn val="ctr"/>
        <c:lblOffset val="100"/>
        <c:tickLblSkip val="1"/>
        <c:tickMarkSkip val="1"/>
      </c:catAx>
      <c:valAx>
        <c:axId val="1208584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5593220338983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85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33E-3"/>
          <c:w val="7.0890678479047314E-2"/>
          <c:h val="0.26898634280885114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9968976215098265E-2"/>
          <c:y val="0.11694915254237288"/>
          <c:w val="0.80248190279214049"/>
          <c:h val="0.8084745762711959"/>
        </c:manualLayout>
      </c:layout>
      <c:barChart>
        <c:barDir val="col"/>
        <c:grouping val="clustered"/>
        <c:ser>
          <c:idx val="1"/>
          <c:order val="0"/>
          <c:tx>
            <c:strRef>
              <c:f>'Datos '!$I$644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813539724288664E-4"/>
                  <c:y val="1.26304550914187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813539724286552E-4"/>
                  <c:y val="-5.2897370879487924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'!$L$644:$M$644</c:f>
            </c:numRef>
          </c:val>
        </c:ser>
        <c:ser>
          <c:idx val="0"/>
          <c:order val="1"/>
          <c:tx>
            <c:strRef>
              <c:f>'Datos '!$I$645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'!$L$645:$M$645</c:f>
            </c:numRef>
          </c:val>
        </c:ser>
        <c:ser>
          <c:idx val="2"/>
          <c:order val="2"/>
          <c:tx>
            <c:strRef>
              <c:f>'Datos '!$I$646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'!$L$646:$M$646</c:f>
            </c:numRef>
          </c:val>
        </c:ser>
        <c:ser>
          <c:idx val="3"/>
          <c:order val="3"/>
          <c:tx>
            <c:strRef>
              <c:f>'Datos '!$I$647</c:f>
              <c:strCache>
                <c:ptCount val="1"/>
                <c:pt idx="0">
                  <c:v>Becas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'!$L$647:$M$647</c:f>
            </c:numRef>
          </c:val>
        </c:ser>
        <c:ser>
          <c:idx val="4"/>
          <c:order val="4"/>
          <c:tx>
            <c:strRef>
              <c:f>'Datos '!$I$648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'!$L$648:$M$648</c:f>
            </c:numRef>
          </c:val>
        </c:ser>
        <c:ser>
          <c:idx val="5"/>
          <c:order val="5"/>
          <c:tx>
            <c:strRef>
              <c:f>'Datos '!$I$649</c:f>
              <c:strCache>
                <c:ptCount val="1"/>
                <c:pt idx="0">
                  <c:v>Obra Pública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'!$L$649:$M$649</c:f>
            </c:numRef>
          </c:val>
        </c:ser>
        <c:ser>
          <c:idx val="6"/>
          <c:order val="6"/>
          <c:tx>
            <c:strRef>
              <c:f>'Datos '!$I$651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'!$L$651:$M$651</c:f>
            </c:numRef>
          </c:val>
        </c:ser>
        <c:dLbls>
          <c:showVal val="1"/>
        </c:dLbls>
        <c:axId val="121079296"/>
        <c:axId val="121080832"/>
      </c:barChart>
      <c:catAx>
        <c:axId val="12107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080832"/>
        <c:crosses val="autoZero"/>
        <c:lblAlgn val="ctr"/>
        <c:lblOffset val="100"/>
        <c:tickLblSkip val="1"/>
        <c:tickMarkSkip val="1"/>
      </c:catAx>
      <c:valAx>
        <c:axId val="1210808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8474576271186856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07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33E-3"/>
          <c:w val="0.24622125957110269"/>
          <c:h val="0.30132603763512888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4339622641509524E-2"/>
          <c:y val="0.19086460032626426"/>
          <c:w val="0.86903440621532613"/>
          <c:h val="0.31484502446982082"/>
        </c:manualLayout>
      </c:layout>
      <c:barChart>
        <c:barDir val="col"/>
        <c:grouping val="clustered"/>
        <c:ser>
          <c:idx val="1"/>
          <c:order val="0"/>
          <c:tx>
            <c:strRef>
              <c:f>'Datos '!$I$337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4.2693886349669512E-4"/>
                  <c:y val="-1.952105089637065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'!$P$336:$T$336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'!$P$337:$T$337</c:f>
              <c:numCache>
                <c:formatCode>#,##0</c:formatCode>
                <c:ptCount val="5"/>
                <c:pt idx="0">
                  <c:v>72</c:v>
                </c:pt>
                <c:pt idx="1">
                  <c:v>44</c:v>
                </c:pt>
                <c:pt idx="2" formatCode="0">
                  <c:v>84.18</c:v>
                </c:pt>
                <c:pt idx="3" formatCode="0">
                  <c:v>62</c:v>
                </c:pt>
                <c:pt idx="4" formatCode="0">
                  <c:v>83</c:v>
                </c:pt>
              </c:numCache>
            </c:numRef>
          </c:val>
        </c:ser>
        <c:ser>
          <c:idx val="0"/>
          <c:order val="1"/>
          <c:tx>
            <c:strRef>
              <c:f>'Datos '!$I$338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3.2439896178350597E-4"/>
                  <c:y val="-1.1418393255492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'!$P$336:$T$336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'!$P$338:$T$338</c:f>
              <c:numCache>
                <c:formatCode>#,##0</c:formatCode>
                <c:ptCount val="5"/>
                <c:pt idx="0">
                  <c:v>60</c:v>
                </c:pt>
                <c:pt idx="1">
                  <c:v>78</c:v>
                </c:pt>
                <c:pt idx="2" formatCode="0">
                  <c:v>78.08</c:v>
                </c:pt>
                <c:pt idx="3" formatCode="0">
                  <c:v>101</c:v>
                </c:pt>
                <c:pt idx="4" formatCode="0">
                  <c:v>76</c:v>
                </c:pt>
              </c:numCache>
            </c:numRef>
          </c:val>
        </c:ser>
        <c:ser>
          <c:idx val="2"/>
          <c:order val="2"/>
          <c:tx>
            <c:strRef>
              <c:f>'Datos '!$I$339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999933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8.8790233074361022E-4"/>
                  <c:y val="-3.26247147328442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8797E-4"/>
                  <c:y val="-2.191365557282565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'!$P$336:$T$336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'!$P$339:$T$339</c:f>
              <c:numCache>
                <c:formatCode>#,##0</c:formatCode>
                <c:ptCount val="5"/>
                <c:pt idx="0">
                  <c:v>42</c:v>
                </c:pt>
                <c:pt idx="1">
                  <c:v>77</c:v>
                </c:pt>
                <c:pt idx="2" formatCode="0">
                  <c:v>71.37</c:v>
                </c:pt>
                <c:pt idx="3" formatCode="0">
                  <c:v>46</c:v>
                </c:pt>
                <c:pt idx="4" formatCode="0">
                  <c:v>75</c:v>
                </c:pt>
              </c:numCache>
            </c:numRef>
          </c:val>
        </c:ser>
        <c:ser>
          <c:idx val="3"/>
          <c:order val="3"/>
          <c:tx>
            <c:strRef>
              <c:f>'Datos '!$I$340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olidFill>
              <a:srgbClr val="336666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-1.4342768752129841E-3"/>
                  <c:y val="-4.893107774252542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4491859438768712E-3"/>
                  <c:y val="-1.8813716800897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'!$P$336:$T$336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'!$P$340:$T$340</c:f>
              <c:numCache>
                <c:formatCode>#,##0</c:formatCode>
                <c:ptCount val="5"/>
                <c:pt idx="0">
                  <c:v>7</c:v>
                </c:pt>
                <c:pt idx="1">
                  <c:v>13</c:v>
                </c:pt>
                <c:pt idx="2" formatCode="0">
                  <c:v>10.37</c:v>
                </c:pt>
                <c:pt idx="3" formatCode="0">
                  <c:v>16</c:v>
                </c:pt>
                <c:pt idx="4" formatCode="0">
                  <c:v>24</c:v>
                </c:pt>
              </c:numCache>
            </c:numRef>
          </c:val>
        </c:ser>
        <c:ser>
          <c:idx val="4"/>
          <c:order val="4"/>
          <c:tx>
            <c:strRef>
              <c:f>'Datos '!$I$341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1.4044470856237549E-3"/>
                  <c:y val="-1.9683754865063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0681540778546221E-3"/>
                  <c:y val="-2.642654986234381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824715029378607E-3"/>
                  <c:y val="-3.006940608769755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6264226683096621E-3"/>
                  <c:y val="-2.631693876764600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'!$P$336:$T$336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'!$P$341:$T$341</c:f>
              <c:numCache>
                <c:formatCode>#,##0</c:formatCode>
                <c:ptCount val="5"/>
                <c:pt idx="0">
                  <c:v>181</c:v>
                </c:pt>
                <c:pt idx="1">
                  <c:v>212</c:v>
                </c:pt>
                <c:pt idx="2">
                  <c:v>244</c:v>
                </c:pt>
                <c:pt idx="3">
                  <c:v>225</c:v>
                </c:pt>
                <c:pt idx="4">
                  <c:v>258</c:v>
                </c:pt>
              </c:numCache>
            </c:numRef>
          </c:val>
        </c:ser>
        <c:dLbls>
          <c:showVal val="1"/>
        </c:dLbls>
        <c:axId val="121287040"/>
        <c:axId val="121288576"/>
      </c:barChart>
      <c:catAx>
        <c:axId val="121287040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288576"/>
        <c:crosses val="autoZero"/>
        <c:lblAlgn val="ctr"/>
        <c:lblOffset val="100"/>
        <c:tickLblSkip val="1"/>
        <c:tickMarkSkip val="1"/>
      </c:catAx>
      <c:valAx>
        <c:axId val="1212885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Clientes Atendidos</a:t>
                </a:r>
              </a:p>
            </c:rich>
          </c:tx>
          <c:layout>
            <c:manualLayout>
              <c:xMode val="edge"/>
              <c:yMode val="edge"/>
              <c:x val="3.3296337402886188E-3"/>
              <c:y val="0.1370309951060379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287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88E-3"/>
          <c:y val="0.61500815660686214"/>
          <c:w val="0.98224195338512765"/>
          <c:h val="0.13376835236540899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4.9944506104328532E-2"/>
          <c:y val="3.4257748776509687E-2"/>
          <c:w val="0.93784683684794667"/>
          <c:h val="0.70799347471452811"/>
        </c:manualLayout>
      </c:layout>
      <c:lineChart>
        <c:grouping val="standard"/>
        <c:ser>
          <c:idx val="0"/>
          <c:order val="0"/>
          <c:tx>
            <c:strRef>
              <c:f>'2001-2006 Indicadores'!$B$70</c:f>
              <c:strCache>
                <c:ptCount val="1"/>
                <c:pt idx="0">
                  <c:v>Artículos con arbitraje publicados en revistas de circulación internacional indexadas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246762856085842E-2"/>
                  <c:y val="-4.7852093529092534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20791712911621E-2"/>
                  <c:y val="-2.12895574023883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8516463189049895E-3"/>
                  <c:y val="1.05009141394030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7950425453200181E-2"/>
                  <c:y val="-2.0772158781946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Indicadores'!$E$70:$I$70</c:f>
              <c:numCache>
                <c:formatCode>0.0</c:formatCode>
                <c:ptCount val="5"/>
                <c:pt idx="0">
                  <c:v>1.0714285714285714</c:v>
                </c:pt>
                <c:pt idx="1">
                  <c:v>1.1351351351351351</c:v>
                </c:pt>
                <c:pt idx="2">
                  <c:v>1.7027027027027026</c:v>
                </c:pt>
                <c:pt idx="3">
                  <c:v>1.9047619047619047</c:v>
                </c:pt>
                <c:pt idx="4" formatCode="General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'2001-2006 Indicadores'!$B$71</c:f>
              <c:strCache>
                <c:ptCount val="1"/>
                <c:pt idx="0">
                  <c:v>Artículos con arbitraje publicados en revistas de circulación internacional indexadas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796152423233513E-2"/>
                  <c:y val="-1.304252139771324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5719570847206798E-2"/>
                  <c:y val="-3.13213703099510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7950425453200181E-2"/>
                  <c:y val="-2.57305194110116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950425453200143E-2"/>
                  <c:y val="-3.0378886162883808E-2"/>
                </c:manualLayout>
              </c:layout>
              <c:dLblPos val="r"/>
              <c:showVal val="1"/>
            </c:dLbl>
            <c:dLbl>
              <c:idx val="4"/>
              <c:delete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Indicadores'!$E$71:$I$71</c:f>
              <c:numCache>
                <c:formatCode>0.0</c:formatCode>
                <c:ptCount val="5"/>
                <c:pt idx="0">
                  <c:v>1.3611111111111112</c:v>
                </c:pt>
                <c:pt idx="1">
                  <c:v>1.6285714285714286</c:v>
                </c:pt>
                <c:pt idx="2">
                  <c:v>1.8611111111111112</c:v>
                </c:pt>
                <c:pt idx="3">
                  <c:v>2.0285714285714285</c:v>
                </c:pt>
                <c:pt idx="4" formatCode="General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'2001-2006 Indicadores'!$B$72</c:f>
              <c:strCache>
                <c:ptCount val="1"/>
                <c:pt idx="0">
                  <c:v>Artículos Publicados en Memorias de Congreso Internacional con arbitraje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20384757676663E-2"/>
                  <c:y val="2.034929973068213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2216056233815138E-3"/>
                  <c:y val="2.050755074865233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990751017388348E-2"/>
                  <c:y val="2.772852414655343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661117277099503E-2"/>
                  <c:y val="1.805328983143016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1117277099519123E-3"/>
                  <c:y val="4.604008511986528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Indicadores'!$E$72:$I$72</c:f>
              <c:numCache>
                <c:formatCode>0.0</c:formatCode>
                <c:ptCount val="5"/>
                <c:pt idx="0">
                  <c:v>1.0238095238095237</c:v>
                </c:pt>
                <c:pt idx="1">
                  <c:v>0.97297297297297303</c:v>
                </c:pt>
                <c:pt idx="2">
                  <c:v>1.0810810810810811</c:v>
                </c:pt>
                <c:pt idx="3">
                  <c:v>1.0714285714285714</c:v>
                </c:pt>
                <c:pt idx="4" formatCode="General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'2001-2006 Indicadores'!$B$73</c:f>
              <c:strCache>
                <c:ptCount val="1"/>
                <c:pt idx="0">
                  <c:v>Artículos Publicados en Memorias de Congreso Internacional con arbitraje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3858675545689942E-2"/>
                  <c:y val="-3.733919067620695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430262671106195E-2"/>
                  <c:y val="-3.3431383882887462E-4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0517943026267093E-2"/>
                  <c:y val="-3.675910821098423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4990751017388348E-2"/>
                  <c:y val="-3.6686662128082276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Indicadores'!$E$73:$I$73</c:f>
              <c:numCache>
                <c:formatCode>0.0</c:formatCode>
                <c:ptCount val="5"/>
                <c:pt idx="0">
                  <c:v>1.4444444444444444</c:v>
                </c:pt>
                <c:pt idx="1">
                  <c:v>1.9428571428571428</c:v>
                </c:pt>
                <c:pt idx="2">
                  <c:v>1.6388888888888888</c:v>
                </c:pt>
                <c:pt idx="3">
                  <c:v>2.4857142857142858</c:v>
                </c:pt>
                <c:pt idx="4">
                  <c:v>4</c:v>
                </c:pt>
              </c:numCache>
            </c:numRef>
          </c:val>
        </c:ser>
        <c:dLbls>
          <c:showVal val="1"/>
        </c:dLbls>
        <c:marker val="1"/>
        <c:axId val="121727616"/>
        <c:axId val="121762176"/>
      </c:lineChart>
      <c:catAx>
        <c:axId val="121727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762176"/>
        <c:crosses val="autoZero"/>
        <c:auto val="1"/>
        <c:lblAlgn val="ctr"/>
        <c:lblOffset val="100"/>
        <c:tickLblSkip val="1"/>
        <c:tickMarkSkip val="1"/>
      </c:catAx>
      <c:valAx>
        <c:axId val="121762176"/>
        <c:scaling>
          <c:orientation val="minMax"/>
        </c:scaling>
        <c:axPos val="l"/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727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984E-3"/>
          <c:y val="0.8156606851549757"/>
          <c:w val="0.99334073251943145"/>
          <c:h val="0.14355628058727829"/>
        </c:manualLayout>
      </c:layout>
      <c:spPr>
        <a:noFill/>
        <a:ln w="25400">
          <a:noFill/>
        </a:ln>
      </c:spPr>
      <c:txPr>
        <a:bodyPr/>
        <a:lstStyle/>
        <a:p>
          <a:pPr>
            <a:defRPr sz="5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8779134295227528E-2"/>
          <c:y val="4.2414355628058717E-2"/>
          <c:w val="0.87569367369591378"/>
          <c:h val="0.74877650897226256"/>
        </c:manualLayout>
      </c:layout>
      <c:lineChart>
        <c:grouping val="standard"/>
        <c:ser>
          <c:idx val="0"/>
          <c:order val="0"/>
          <c:tx>
            <c:strRef>
              <c:f>'2001-2006 Indicadores'!$B$77</c:f>
              <c:strCache>
                <c:ptCount val="1"/>
                <c:pt idx="0">
                  <c:v>Investigadores en el S N I.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882565594949824E-3"/>
                  <c:y val="-2.83423462768622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384815937963402E-2"/>
                  <c:y val="2.425522258331147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052962441847902E-2"/>
                  <c:y val="2.42994095558610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21108945732766E-2"/>
                  <c:y val="2.071392788788840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Indicadores'!$E$77:$I$77</c:f>
              <c:numCache>
                <c:formatCode>0.0</c:formatCode>
                <c:ptCount val="5"/>
                <c:pt idx="0">
                  <c:v>64.285714285714292</c:v>
                </c:pt>
                <c:pt idx="1">
                  <c:v>81.081081081081081</c:v>
                </c:pt>
                <c:pt idx="2">
                  <c:v>97.297297297297305</c:v>
                </c:pt>
                <c:pt idx="3">
                  <c:v>88.095238095238088</c:v>
                </c:pt>
                <c:pt idx="4" formatCode="General">
                  <c:v>85.7</c:v>
                </c:pt>
              </c:numCache>
            </c:numRef>
          </c:val>
        </c:ser>
        <c:ser>
          <c:idx val="1"/>
          <c:order val="1"/>
          <c:tx>
            <c:strRef>
              <c:f>'2001-2006 Indicadores'!$B$78</c:f>
              <c:strCache>
                <c:ptCount val="1"/>
                <c:pt idx="0">
                  <c:v>Investigadores en el S N I. Alcanzado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87035693790493E-2"/>
                  <c:y val="1.77134954378663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373717158829992E-2"/>
                  <c:y val="-3.86545238125821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931985749284651E-2"/>
                  <c:y val="-3.713966423038882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819888080027802E-2"/>
                  <c:y val="-3.550834286007888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1949743795898941E-2"/>
                  <c:y val="-3.402807927964959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Indicadores'!$E$78:$I$78</c:f>
              <c:numCache>
                <c:formatCode>0.0</c:formatCode>
                <c:ptCount val="5"/>
                <c:pt idx="0">
                  <c:v>80.555555555555557</c:v>
                </c:pt>
                <c:pt idx="1">
                  <c:v>97.142857142857139</c:v>
                </c:pt>
                <c:pt idx="2">
                  <c:v>100</c:v>
                </c:pt>
                <c:pt idx="3">
                  <c:v>100</c:v>
                </c:pt>
                <c:pt idx="4" formatCode="General">
                  <c:v>97.1</c:v>
                </c:pt>
              </c:numCache>
            </c:numRef>
          </c:val>
        </c:ser>
        <c:dLbls>
          <c:showVal val="1"/>
        </c:dLbls>
        <c:marker val="1"/>
        <c:axId val="119784960"/>
        <c:axId val="119786496"/>
      </c:lineChart>
      <c:catAx>
        <c:axId val="119784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786496"/>
        <c:crosses val="autoZero"/>
        <c:auto val="1"/>
        <c:lblAlgn val="ctr"/>
        <c:lblOffset val="100"/>
        <c:tickLblSkip val="1"/>
        <c:tickMarkSkip val="1"/>
      </c:catAx>
      <c:valAx>
        <c:axId val="1197864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con relación al total de investigadores</a:t>
                </a:r>
              </a:p>
            </c:rich>
          </c:tx>
          <c:layout>
            <c:manualLayout>
              <c:xMode val="edge"/>
              <c:yMode val="edge"/>
              <c:x val="1.1098779134295301E-3"/>
              <c:y val="4.8939641109298814E-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9784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88E-3"/>
          <c:y val="0.88743882544861341"/>
          <c:w val="0.99112097669256383"/>
          <c:h val="7.17781402936198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4.4045676998368734E-2"/>
          <c:w val="0.90233074361820198"/>
          <c:h val="0.80913539967373571"/>
        </c:manualLayout>
      </c:layout>
      <c:lineChart>
        <c:grouping val="standard"/>
        <c:ser>
          <c:idx val="0"/>
          <c:order val="0"/>
          <c:tx>
            <c:strRef>
              <c:f>'2001-2006 Indicadores'!$B$89</c:f>
              <c:strCache>
                <c:ptCount val="1"/>
                <c:pt idx="0">
                  <c:v>Eficiencia Terminal Maestría.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232E-2"/>
                  <c:y val="-2.94362307484810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66872911696323E-2"/>
                  <c:y val="-3.100075785795991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6082189226901586E-2"/>
                  <c:y val="-3.93029419446549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617358800786119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Indicadores'!$D$89:$H$89</c:f>
              <c:numCache>
                <c:formatCode>0.0</c:formatCode>
                <c:ptCount val="5"/>
                <c:pt idx="0">
                  <c:v>72.222222222222214</c:v>
                </c:pt>
                <c:pt idx="1">
                  <c:v>63.157894736842103</c:v>
                </c:pt>
                <c:pt idx="2">
                  <c:v>78.260869565217391</c:v>
                </c:pt>
                <c:pt idx="3">
                  <c:v>72.222222222222214</c:v>
                </c:pt>
                <c:pt idx="4" formatCode="General">
                  <c:v>69.7</c:v>
                </c:pt>
              </c:numCache>
            </c:numRef>
          </c:val>
        </c:ser>
        <c:ser>
          <c:idx val="1"/>
          <c:order val="1"/>
          <c:tx>
            <c:strRef>
              <c:f>'2001-2006 Indicadores'!$B$90</c:f>
              <c:strCache>
                <c:ptCount val="1"/>
                <c:pt idx="0">
                  <c:v>Eficiencia Terminal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232E-2"/>
                  <c:y val="6.9966131884413758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97675082512581E-2"/>
                  <c:y val="2.06863538468784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4340205254586727E-3"/>
                  <c:y val="1.5026996013752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0192076316724684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Indicadores'!$D$90:$H$90</c:f>
              <c:numCache>
                <c:formatCode>0.0</c:formatCode>
                <c:ptCount val="5"/>
                <c:pt idx="0">
                  <c:v>55.555555555555557</c:v>
                </c:pt>
                <c:pt idx="1">
                  <c:v>47.368421052631575</c:v>
                </c:pt>
                <c:pt idx="2">
                  <c:v>65.217391304347828</c:v>
                </c:pt>
                <c:pt idx="3">
                  <c:v>88.888888888888886</c:v>
                </c:pt>
                <c:pt idx="4" formatCode="General">
                  <c:v>69.7</c:v>
                </c:pt>
              </c:numCache>
            </c:numRef>
          </c:val>
        </c:ser>
        <c:ser>
          <c:idx val="2"/>
          <c:order val="2"/>
          <c:tx>
            <c:strRef>
              <c:f>'2001-2006 Indicadores'!$B$91</c:f>
              <c:strCache>
                <c:ptCount val="1"/>
                <c:pt idx="0">
                  <c:v>Eficiencia Terminal Doctorado.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57771912807253E-2"/>
                  <c:y val="-2.1642196846112041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Indicadores'!$D$91:$H$91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76.19047619047619</c:v>
                </c:pt>
                <c:pt idx="3">
                  <c:v>69.230769230769226</c:v>
                </c:pt>
                <c:pt idx="4" formatCode="General">
                  <c:v>73.3</c:v>
                </c:pt>
              </c:numCache>
            </c:numRef>
          </c:val>
        </c:ser>
        <c:ser>
          <c:idx val="3"/>
          <c:order val="3"/>
          <c:tx>
            <c:strRef>
              <c:f>'2001-2006 Indicadores'!$B$92</c:f>
              <c:strCache>
                <c:ptCount val="1"/>
                <c:pt idx="0">
                  <c:v>Eficiencia Terminal Doctorado.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6.9182972550186142E-3"/>
                  <c:y val="9.8966829798807273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3133613570223501E-2"/>
                  <c:y val="-3.197389885807578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579784491422445E-2"/>
                  <c:y val="1.9768189661447826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Indicadores'!$D$92:$H$92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66.666666666666657</c:v>
                </c:pt>
                <c:pt idx="3">
                  <c:v>69.230769230769226</c:v>
                </c:pt>
                <c:pt idx="4" formatCode="General">
                  <c:v>53.3</c:v>
                </c:pt>
              </c:numCache>
            </c:numRef>
          </c:val>
        </c:ser>
        <c:dLbls>
          <c:showVal val="1"/>
        </c:dLbls>
        <c:marker val="1"/>
        <c:axId val="122011008"/>
        <c:axId val="121897344"/>
      </c:lineChart>
      <c:catAx>
        <c:axId val="122011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897344"/>
        <c:crosses val="autoZero"/>
        <c:auto val="1"/>
        <c:lblAlgn val="ctr"/>
        <c:lblOffset val="100"/>
        <c:tickLblSkip val="1"/>
        <c:tickMarkSkip val="1"/>
      </c:catAx>
      <c:valAx>
        <c:axId val="1218973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0.3621533442088091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01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8534961154272E-2"/>
          <c:y val="0.9184339314845027"/>
          <c:w val="0.98668146503884568"/>
          <c:h val="8.156606851549896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2.9363784665579151E-2"/>
          <c:w val="0.90122086570477244"/>
          <c:h val="0.87112561174552572"/>
        </c:manualLayout>
      </c:layout>
      <c:lineChart>
        <c:grouping val="standard"/>
        <c:ser>
          <c:idx val="0"/>
          <c:order val="0"/>
          <c:tx>
            <c:strRef>
              <c:f>'2001-2006 Indicadores'!$B$96</c:f>
              <c:strCache>
                <c:ptCount val="1"/>
                <c:pt idx="0">
                  <c:v>(Recursos Autogenerados+Ingresos Diversos)    /    (Ingresos Fiscales +Recursos Autogenerados +Ingresos Diversos) x  100.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170551239364101E-2"/>
                  <c:y val="-3.7828158918960596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1.2948575656678153E-2"/>
                  <c:y val="1.962432509965666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71106178320426E-2"/>
                  <c:y val="-5.331963194649804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8.2870884202737739E-3"/>
                  <c:y val="3.7903174011895248E-3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Indicadores'!$E$96:$I$96</c:f>
              <c:numCache>
                <c:formatCode>0.0</c:formatCode>
                <c:ptCount val="5"/>
                <c:pt idx="0">
                  <c:v>7.0827381865829331</c:v>
                </c:pt>
                <c:pt idx="1">
                  <c:v>9.2467690701013883</c:v>
                </c:pt>
                <c:pt idx="2">
                  <c:v>12.281110381773139</c:v>
                </c:pt>
                <c:pt idx="3">
                  <c:v>13.301964521476716</c:v>
                </c:pt>
                <c:pt idx="4" formatCode="General">
                  <c:v>16.100000000000001</c:v>
                </c:pt>
              </c:numCache>
            </c:numRef>
          </c:val>
        </c:ser>
        <c:ser>
          <c:idx val="1"/>
          <c:order val="1"/>
          <c:tx>
            <c:strRef>
              <c:f>'2001-2006 Indicadores'!$B$97</c:f>
              <c:strCache>
                <c:ptCount val="1"/>
                <c:pt idx="0">
                  <c:v>(Recursos Autogenerados+Ingresos Diversos)   /   (Ingresos Fiscales +Recursos Autogenerados +Ingresos Diversos) x  100. Alcanzado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1383647798742206E-2"/>
                  <c:y val="-5.965001519997600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376988531261512E-2"/>
                  <c:y val="-5.530873078059381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7332593414725691E-3"/>
                  <c:y val="1.28916348751675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05623381428012E-2"/>
                  <c:y val="-3.8732792984889942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Indicadores'!$E$97:$I$97</c:f>
              <c:numCache>
                <c:formatCode>0.0</c:formatCode>
                <c:ptCount val="5"/>
                <c:pt idx="0">
                  <c:v>6.3976693061276766</c:v>
                </c:pt>
                <c:pt idx="1">
                  <c:v>9.1936317807746999</c:v>
                </c:pt>
                <c:pt idx="2">
                  <c:v>12.350751823730832</c:v>
                </c:pt>
                <c:pt idx="3">
                  <c:v>12.984690253559709</c:v>
                </c:pt>
                <c:pt idx="4" formatCode="General">
                  <c:v>13.3</c:v>
                </c:pt>
              </c:numCache>
            </c:numRef>
          </c:val>
        </c:ser>
        <c:dLbls>
          <c:showVal val="1"/>
        </c:dLbls>
        <c:marker val="1"/>
        <c:axId val="122108544"/>
        <c:axId val="122118528"/>
      </c:lineChart>
      <c:catAx>
        <c:axId val="122108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18528"/>
        <c:crosses val="autoZero"/>
        <c:auto val="1"/>
        <c:lblAlgn val="ctr"/>
        <c:lblOffset val="100"/>
        <c:tickLblSkip val="1"/>
        <c:tickMarkSkip val="1"/>
      </c:catAx>
      <c:valAx>
        <c:axId val="122118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"/>
              <c:y val="0.370309951060364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0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46836847946726801"/>
          <c:y val="0.51876019575856447"/>
          <c:w val="0.49389567147613322"/>
          <c:h val="0.2675367047308323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099889012208645"/>
          <c:y val="0.21207177814029371"/>
          <c:w val="0.89900110987790105"/>
          <c:h val="0.51767264817835779"/>
        </c:manualLayout>
      </c:layout>
      <c:barChart>
        <c:barDir val="col"/>
        <c:grouping val="clustered"/>
        <c:ser>
          <c:idx val="0"/>
          <c:order val="0"/>
          <c:tx>
            <c:strRef>
              <c:f>'Datos '!$I$116:$K$116</c:f>
              <c:strCache>
                <c:ptCount val="1"/>
                <c:pt idx="0">
                  <c:v>Nacionales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475767665557413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876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62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642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'!$L$115:$P$115</c:f>
            </c:multiLvlStrRef>
          </c:cat>
          <c:val>
            <c:numRef>
              <c:f>'Datos '!$L$116:$P$116</c:f>
            </c:numRef>
          </c:val>
        </c:ser>
        <c:ser>
          <c:idx val="1"/>
          <c:order val="1"/>
          <c:tx>
            <c:strRef>
              <c:f>'Datos '!$I$117:$K$117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00B0F0"/>
            </a:solidFill>
          </c:spPr>
          <c:dLbls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'!$L$115:$P$115</c:f>
            </c:multiLvlStrRef>
          </c:cat>
          <c:val>
            <c:numRef>
              <c:f>'Datos '!$L$117:$P$117</c:f>
            </c:numRef>
          </c:val>
        </c:ser>
        <c:dLbls>
          <c:showVal val="1"/>
        </c:dLbls>
        <c:axId val="109835008"/>
        <c:axId val="109836544"/>
      </c:barChart>
      <c:catAx>
        <c:axId val="109835008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836544"/>
        <c:crosses val="autoZero"/>
        <c:auto val="1"/>
        <c:lblAlgn val="ctr"/>
        <c:lblOffset val="100"/>
        <c:tickLblSkip val="1"/>
        <c:tickMarkSkip val="1"/>
      </c:catAx>
      <c:valAx>
        <c:axId val="1098365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Capítulos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6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8350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068826995961026"/>
          <c:y val="0.11092985318107668"/>
          <c:w val="0.39485715783862696"/>
          <c:h val="4.961426314369759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99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100"/>
      <c:rotY val="32"/>
      <c:depthPercent val="100"/>
      <c:perspective val="30"/>
    </c:view3D>
    <c:floor>
      <c:spPr>
        <a:solidFill>
          <a:srgbClr val="C0C0C0"/>
        </a:solidFill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5449500554938949E-2"/>
          <c:y val="4.8939641109298814E-3"/>
          <c:w val="0.90344062153163152"/>
          <c:h val="0.86623164763460181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0623192078792696E-2"/>
                  <c:y val="-5.8879997259722913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Indicadores'!$E$105</c:f>
              <c:numCache>
                <c:formatCode>General</c:formatCode>
                <c:ptCount val="1"/>
                <c:pt idx="0">
                  <c:v>2007</c:v>
                </c:pt>
              </c:numCache>
            </c:numRef>
          </c:cat>
          <c:val>
            <c:numRef>
              <c:f>'2001-2006 Indicadores'!$E$106</c:f>
              <c:numCache>
                <c:formatCode>General</c:formatCode>
                <c:ptCount val="1"/>
                <c:pt idx="0">
                  <c:v>0.75</c:v>
                </c:pt>
              </c:numCache>
            </c:numRef>
          </c:val>
        </c:ser>
        <c:dLbls>
          <c:showVal val="1"/>
        </c:dLbls>
        <c:shape val="box"/>
        <c:axId val="122075008"/>
        <c:axId val="122076544"/>
        <c:axId val="122114496"/>
      </c:bar3DChart>
      <c:catAx>
        <c:axId val="122075008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0765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2076544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programas </a:t>
                </a:r>
              </a:p>
            </c:rich>
          </c:tx>
          <c:layout>
            <c:manualLayout>
              <c:xMode val="edge"/>
              <c:yMode val="edge"/>
              <c:x val="0.11431742508324086"/>
              <c:y val="0.277324632952699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075008"/>
        <c:crosses val="autoZero"/>
        <c:crossBetween val="between"/>
        <c:majorUnit val="0.5"/>
      </c:valAx>
      <c:serAx>
        <c:axId val="122114496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07654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10"/>
      <c:hPercent val="100"/>
      <c:rotY val="18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801331853497567E-2"/>
          <c:y val="4.0783034257750227E-2"/>
          <c:w val="0.62486126526082164"/>
          <c:h val="0.83523654159869498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1667263845072033E-2"/>
                  <c:y val="-4.99754659541945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dLbls>
          <c:showVal val="1"/>
        </c:dLbls>
        <c:shape val="box"/>
        <c:axId val="122185216"/>
        <c:axId val="122186752"/>
        <c:axId val="122116288"/>
      </c:bar3DChart>
      <c:catAx>
        <c:axId val="1221852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867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2186752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85216"/>
        <c:crosses val="autoZero"/>
        <c:crossBetween val="between"/>
      </c:valAx>
      <c:serAx>
        <c:axId val="1221162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86752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5.1054384017758053E-2"/>
          <c:y val="3.7520391517128882E-2"/>
          <c:w val="0.94894561598224192"/>
          <c:h val="0.77487765089722671"/>
        </c:manualLayout>
      </c:layout>
      <c:lineChart>
        <c:grouping val="standard"/>
        <c:ser>
          <c:idx val="0"/>
          <c:order val="0"/>
          <c:tx>
            <c:strRef>
              <c:f>'2001-2006 Indicadores'!$B$83</c:f>
              <c:strCache>
                <c:ptCount val="1"/>
                <c:pt idx="0">
                  <c:v>Tiempo de Graduación Maestría. Programado</c:v>
                </c:pt>
              </c:strCache>
            </c:strRef>
          </c:tx>
          <c:spPr>
            <a:ln w="38100">
              <a:solidFill>
                <a:srgbClr val="C0C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FF"/>
              </a:solidFill>
              <a:ln>
                <a:solidFill>
                  <a:srgbClr val="C0C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833206614988921E-2"/>
                  <c:y val="2.16423681134476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6833206614988865E-2"/>
                  <c:y val="-2.729727299585155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9541833075527073E-3"/>
                  <c:y val="2.001104674313753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1.8107752844108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9.2483999988351951E-4"/>
                  <c:y val="6.159800987356153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Indicadores'!$C$83:$G$83</c:f>
              <c:numCache>
                <c:formatCode>0.0</c:formatCode>
                <c:ptCount val="5"/>
                <c:pt idx="0" formatCode="General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2.9222222222222225</c:v>
                </c:pt>
              </c:numCache>
            </c:numRef>
          </c:val>
        </c:ser>
        <c:ser>
          <c:idx val="1"/>
          <c:order val="1"/>
          <c:tx>
            <c:strRef>
              <c:f>'2001-2006 Indicadores'!$B$84</c:f>
              <c:strCache>
                <c:ptCount val="1"/>
                <c:pt idx="0">
                  <c:v>Tiempo de Graduación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543302804930789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8443053941232134E-3"/>
                  <c:y val="2.229934961229432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13450788129811E-2"/>
                  <c:y val="-2.553013662851705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2.031898541230479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3503572874700383E-2"/>
                  <c:y val="-2.9326790921118537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Indicadores'!$C$84:$G$84</c:f>
              <c:numCache>
                <c:formatCode>0.0</c:formatCode>
                <c:ptCount val="5"/>
                <c:pt idx="0">
                  <c:v>2.7028571428571433</c:v>
                </c:pt>
                <c:pt idx="1">
                  <c:v>2.5166666666666666</c:v>
                </c:pt>
                <c:pt idx="2">
                  <c:v>2.98</c:v>
                </c:pt>
                <c:pt idx="3">
                  <c:v>2.9066666666666667</c:v>
                </c:pt>
                <c:pt idx="4">
                  <c:v>3.0642857142857141</c:v>
                </c:pt>
              </c:numCache>
            </c:numRef>
          </c:val>
        </c:ser>
        <c:ser>
          <c:idx val="2"/>
          <c:order val="2"/>
          <c:tx>
            <c:strRef>
              <c:f>'2001-2006 Indicadores'!$B$85</c:f>
              <c:strCache>
                <c:ptCount val="1"/>
                <c:pt idx="0">
                  <c:v>Tiempo de Graduación Doctorado. Programado</c:v>
                </c:pt>
              </c:strCache>
            </c:strRef>
          </c:tx>
          <c:spPr>
            <a:ln w="38100">
              <a:solidFill>
                <a:srgbClr val="A0E0E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64137048121840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1283817047841241E-2"/>
                  <c:y val="-2.852080684041738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7344274806937941E-3"/>
                  <c:y val="1.905931415995513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1.846107735717382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8443053941232134E-3"/>
                  <c:y val="-1.61499959324007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Indicadores'!$C$85:$G$85</c:f>
              <c:numCache>
                <c:formatCode>0.0</c:formatCode>
                <c:ptCount val="5"/>
                <c:pt idx="0">
                  <c:v>4.83</c:v>
                </c:pt>
                <c:pt idx="1">
                  <c:v>4.7</c:v>
                </c:pt>
                <c:pt idx="2">
                  <c:v>4.5</c:v>
                </c:pt>
                <c:pt idx="3">
                  <c:v>4.5</c:v>
                </c:pt>
                <c:pt idx="4">
                  <c:v>4.4800000000000004</c:v>
                </c:pt>
              </c:numCache>
            </c:numRef>
          </c:val>
        </c:ser>
        <c:ser>
          <c:idx val="3"/>
          <c:order val="3"/>
          <c:tx>
            <c:strRef>
              <c:f>'2001-2006 Indicadores'!$B$86</c:f>
              <c:strCache>
                <c:ptCount val="1"/>
                <c:pt idx="0">
                  <c:v>Tiempo de Graduación Doctorado. Alcanzado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2.2382596182136439E-2"/>
                  <c:y val="-2.0817373358510118E-2"/>
                </c:manualLayout>
              </c:layout>
              <c:dLblPos val="r"/>
              <c:showVal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1.2949158269755913E-3"/>
                  <c:y val="9.1878074783881755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Indicadores'!$C$86:$G$86</c:f>
              <c:numCache>
                <c:formatCode>0.0</c:formatCode>
                <c:ptCount val="5"/>
                <c:pt idx="0">
                  <c:v>3.5840000000000005</c:v>
                </c:pt>
                <c:pt idx="1">
                  <c:v>4.2272727272727275</c:v>
                </c:pt>
                <c:pt idx="2">
                  <c:v>4.8733333333333331</c:v>
                </c:pt>
                <c:pt idx="3">
                  <c:v>4.4666666666666668</c:v>
                </c:pt>
                <c:pt idx="4">
                  <c:v>4.2846153846153845</c:v>
                </c:pt>
              </c:numCache>
            </c:numRef>
          </c:val>
        </c:ser>
        <c:dLbls>
          <c:showVal val="1"/>
        </c:dLbls>
        <c:marker val="1"/>
        <c:axId val="120847744"/>
        <c:axId val="121672832"/>
      </c:lineChart>
      <c:catAx>
        <c:axId val="1208477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672832"/>
        <c:crosses val="autoZero"/>
        <c:auto val="1"/>
        <c:lblAlgn val="ctr"/>
        <c:lblOffset val="100"/>
        <c:tickLblSkip val="1"/>
        <c:tickMarkSkip val="1"/>
      </c:catAx>
      <c:valAx>
        <c:axId val="12167283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847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984E-3"/>
          <c:y val="0.90048939641109293"/>
          <c:w val="0.99334073251942778"/>
          <c:h val="9.951060358890706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20"/>
      <c:hPercent val="68"/>
      <c:rotY val="2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532741398446194"/>
          <c:y val="1.6313213703099506E-2"/>
          <c:w val="0.62264150943397312"/>
          <c:h val="0.64437194127243069"/>
        </c:manualLayout>
      </c:layout>
      <c:bar3DChart>
        <c:barDir val="col"/>
        <c:grouping val="clustere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7716040211954655E-2"/>
                  <c:y val="-7.52692536597689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ser>
          <c:idx val="1"/>
          <c:order val="1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627247065815669E-2"/>
                  <c:y val="-7.56366220943429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Indicadores'!$C$106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box"/>
        <c:axId val="122465280"/>
        <c:axId val="122467072"/>
        <c:axId val="0"/>
      </c:bar3DChart>
      <c:catAx>
        <c:axId val="122465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467072"/>
        <c:crosses val="autoZero"/>
        <c:auto val="1"/>
        <c:lblAlgn val="ctr"/>
        <c:lblOffset val="100"/>
        <c:tickLblSkip val="1"/>
        <c:tickMarkSkip val="1"/>
      </c:catAx>
      <c:valAx>
        <c:axId val="122467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participación</a:t>
                </a:r>
              </a:p>
            </c:rich>
          </c:tx>
          <c:layout>
            <c:manualLayout>
              <c:xMode val="edge"/>
              <c:yMode val="edge"/>
              <c:x val="0.12097669256381829"/>
              <c:y val="0.249592169657427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46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3251942286348501E-2"/>
          <c:y val="0.70962479608484375"/>
          <c:w val="0.90899001109878697"/>
          <c:h val="0.12071778140293016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9922308546059936E-2"/>
          <c:y val="3.4257748776509687E-2"/>
          <c:w val="0.85460599334074439"/>
          <c:h val="0.72593800978792256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0000FF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33CCCC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rgbClr val="3333CC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122710656"/>
        <c:axId val="122725120"/>
      </c:barChart>
      <c:lineChart>
        <c:grouping val="standard"/>
        <c:ser>
          <c:idx val="2"/>
          <c:order val="3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marker val="1"/>
        <c:axId val="122727040"/>
        <c:axId val="122741120"/>
      </c:lineChart>
      <c:catAx>
        <c:axId val="1227106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725120"/>
        <c:crosses val="autoZero"/>
        <c:lblAlgn val="ctr"/>
        <c:lblOffset val="100"/>
        <c:tickLblSkip val="1"/>
        <c:tickMarkSkip val="1"/>
      </c:catAx>
      <c:valAx>
        <c:axId val="1227251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 de 2004</a:t>
                </a:r>
              </a:p>
            </c:rich>
          </c:tx>
          <c:layout>
            <c:manualLayout>
              <c:xMode val="edge"/>
              <c:yMode val="edge"/>
              <c:x val="1.1098779134295227E-2"/>
              <c:y val="0.282218597063626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710656"/>
        <c:crosses val="autoZero"/>
        <c:crossBetween val="between"/>
      </c:valAx>
      <c:catAx>
        <c:axId val="122727040"/>
        <c:scaling>
          <c:orientation val="minMax"/>
        </c:scaling>
        <c:delete val="1"/>
        <c:axPos val="b"/>
        <c:numFmt formatCode="General" sourceLinked="1"/>
        <c:tickLblPos val="none"/>
        <c:crossAx val="122741120"/>
        <c:crosses val="autoZero"/>
        <c:lblAlgn val="ctr"/>
        <c:lblOffset val="100"/>
      </c:catAx>
      <c:valAx>
        <c:axId val="12274112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milones de $ de 2004</a:t>
                </a:r>
              </a:p>
            </c:rich>
          </c:tx>
          <c:layout>
            <c:manualLayout>
              <c:xMode val="edge"/>
              <c:yMode val="edge"/>
              <c:x val="0.95782463928969308"/>
              <c:y val="0.285481239804249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7270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0913539967373571"/>
          <c:w val="0.81132075471698117"/>
          <c:h val="0.13050570962479835"/>
        </c:manualLayout>
      </c:layout>
      <c:spPr>
        <a:noFill/>
        <a:ln w="25400">
          <a:noFill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2153163152053312E-2"/>
          <c:y val="8.1566068515500523E-2"/>
          <c:w val="0.92674805771365165"/>
          <c:h val="0.55464926590538965"/>
        </c:manualLayout>
      </c:layout>
      <c:barChart>
        <c:barDir val="col"/>
        <c:grouping val="clustered"/>
        <c:ser>
          <c:idx val="0"/>
          <c:order val="0"/>
          <c:tx>
            <c:strRef>
              <c:f>[1]Hoja1!$I$13</c:f>
              <c:strCache>
                <c:ptCount val="1"/>
                <c:pt idx="0">
                  <c:v>Menor que 1</c:v>
                </c:pt>
              </c:strCache>
            </c:strRef>
          </c:tx>
          <c:dLbls>
            <c:dLbl>
              <c:idx val="1"/>
              <c:layout>
                <c:manualLayout>
                  <c:x val="-1.1838697743248243E-2"/>
                  <c:y val="8.7003806416531115E-3"/>
                </c:manualLayout>
              </c:layout>
              <c:showVal val="1"/>
            </c:dLbl>
            <c:dLbl>
              <c:idx val="2"/>
              <c:layout>
                <c:manualLayout>
                  <c:x val="-7.3991860895302004E-3"/>
                  <c:y val="2.1750951604132679E-3"/>
                </c:manualLayout>
              </c:layout>
              <c:showVal val="1"/>
            </c:dLbl>
            <c:dLbl>
              <c:idx val="4"/>
              <c:layout>
                <c:manualLayout>
                  <c:x val="-8.8790233074360746E-3"/>
                  <c:y val="2.1750951604132679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[1]Hoja1!$J$12:$N$12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[1]Hoja1!$J$13:$N$13</c:f>
              <c:numCache>
                <c:formatCode>General</c:formatCode>
                <c:ptCount val="5"/>
                <c:pt idx="0">
                  <c:v>36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27</c:v>
                </c:pt>
              </c:numCache>
            </c:numRef>
          </c:val>
        </c:ser>
        <c:ser>
          <c:idx val="1"/>
          <c:order val="1"/>
          <c:tx>
            <c:strRef>
              <c:f>[1]Hoja1!$I$14</c:f>
              <c:strCache>
                <c:ptCount val="1"/>
                <c:pt idx="0">
                  <c:v>Entre 1 y 2</c:v>
                </c:pt>
              </c:strCache>
            </c:strRef>
          </c:tx>
          <c:dLbls>
            <c:dLbl>
              <c:idx val="0"/>
              <c:layout>
                <c:manualLayout>
                  <c:x val="7.3991860895302004E-3"/>
                  <c:y val="6.5252854812399008E-3"/>
                </c:manualLayout>
              </c:layout>
              <c:showVal val="1"/>
            </c:dLbl>
            <c:dLbl>
              <c:idx val="2"/>
              <c:layout>
                <c:manualLayout>
                  <c:x val="4.9836722684909939E-4"/>
                  <c:y val="5.872756933115841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856854879821341E-3"/>
                  <c:y val="6.5718701964864934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[1]Hoja1!$J$12:$N$12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[1]Hoja1!$J$14:$N$14</c:f>
              <c:numCache>
                <c:formatCode>General</c:formatCode>
                <c:ptCount val="5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</c:numCache>
            </c:numRef>
          </c:val>
        </c:ser>
        <c:ser>
          <c:idx val="2"/>
          <c:order val="2"/>
          <c:tx>
            <c:strRef>
              <c:f>[1]Hoja1!$I$15</c:f>
              <c:strCache>
                <c:ptCount val="1"/>
                <c:pt idx="0">
                  <c:v>Entre 2 y 3</c:v>
                </c:pt>
              </c:strCache>
            </c:strRef>
          </c:tx>
          <c:dLbls>
            <c:dLbl>
              <c:idx val="0"/>
              <c:layout>
                <c:manualLayout>
                  <c:x val="1.3318534961154272E-2"/>
                  <c:y val="6.5252854812399008E-3"/>
                </c:manualLayout>
              </c:layout>
              <c:showVal val="1"/>
            </c:dLbl>
            <c:dLbl>
              <c:idx val="4"/>
              <c:layout>
                <c:manualLayout>
                  <c:x val="5.9193488716242602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[1]Hoja1!$J$12:$N$12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[1]Hoja1!$J$15:$N$15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[1]Hoja1!$I$16</c:f>
              <c:strCache>
                <c:ptCount val="1"/>
                <c:pt idx="0">
                  <c:v>Entre 3 y 5</c:v>
                </c:pt>
              </c:strCache>
            </c:strRef>
          </c:tx>
          <c:dLbls>
            <c:dLbl>
              <c:idx val="3"/>
              <c:layout>
                <c:manualLayout>
                  <c:x val="-9.6935163903623498E-4"/>
                  <c:y val="3.309227455866613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6.5252854812399008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[1]Hoja1!$J$12:$N$12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[1]Hoja1!$J$16:$N$16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[1]Hoja1!$I$17</c:f>
              <c:strCache>
                <c:ptCount val="1"/>
                <c:pt idx="0">
                  <c:v>Mayor a 5</c:v>
                </c:pt>
              </c:strCache>
            </c:strRef>
          </c:tx>
          <c:dLbls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[1]Hoja1!$J$12:$N$12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[1]Hoja1!$J$17:$N$17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axId val="122562048"/>
        <c:axId val="122563584"/>
      </c:barChart>
      <c:catAx>
        <c:axId val="1225620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24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22563584"/>
        <c:crosses val="autoZero"/>
        <c:auto val="1"/>
        <c:lblAlgn val="ctr"/>
        <c:lblOffset val="100"/>
        <c:tickLblSkip val="1"/>
        <c:tickMarkSkip val="1"/>
      </c:catAx>
      <c:valAx>
        <c:axId val="122563584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2400"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2256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7520391517128876"/>
          <c:w val="1"/>
          <c:h val="0.21424858597406479"/>
        </c:manualLayout>
      </c:layout>
      <c:txPr>
        <a:bodyPr/>
        <a:lstStyle/>
        <a:p>
          <a:pPr>
            <a:defRPr sz="2200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</c:chart>
  <c:txPr>
    <a:bodyPr/>
    <a:lstStyle/>
    <a:p>
      <a:pPr>
        <a:defRPr sz="2000" b="1">
          <a:latin typeface="Arial Narrow" pitchFamily="34" charset="0"/>
          <a:cs typeface="Arial" pitchFamily="34" charset="0"/>
        </a:defRPr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col"/>
        <c:grouping val="clustered"/>
        <c:ser>
          <c:idx val="0"/>
          <c:order val="0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'!$I$108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'!$P$103:$Q$103</c:f>
              <c:numCache>
                <c:formatCode>General</c:formatCode>
                <c:ptCount val="2"/>
                <c:pt idx="0">
                  <c:v>2006</c:v>
                </c:pt>
                <c:pt idx="1">
                  <c:v>2009</c:v>
                </c:pt>
              </c:numCache>
            </c:numRef>
          </c:val>
        </c:ser>
        <c:ser>
          <c:idx val="2"/>
          <c:order val="2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'!$P$104:$Q$104</c:f>
              <c:numCache>
                <c:formatCode>General</c:formatCode>
                <c:ptCount val="2"/>
                <c:pt idx="0">
                  <c:v>37</c:v>
                </c:pt>
                <c:pt idx="1">
                  <c:v>23</c:v>
                </c:pt>
              </c:numCache>
            </c:numRef>
          </c:val>
        </c:ser>
        <c:ser>
          <c:idx val="3"/>
          <c:order val="3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'!$P$105:$Q$105</c:f>
              <c:numCache>
                <c:formatCode>General</c:formatCode>
                <c:ptCount val="2"/>
                <c:pt idx="0">
                  <c:v>20</c:v>
                </c:pt>
                <c:pt idx="1">
                  <c:v>60</c:v>
                </c:pt>
              </c:numCache>
            </c:numRef>
          </c:val>
        </c:ser>
        <c:ser>
          <c:idx val="4"/>
          <c:order val="4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'!$P$106:$Q$106</c:f>
              <c:numCache>
                <c:formatCode>General</c:formatCode>
                <c:ptCount val="2"/>
                <c:pt idx="0">
                  <c:v>14</c:v>
                </c:pt>
                <c:pt idx="1">
                  <c:v>19</c:v>
                </c:pt>
              </c:numCache>
            </c:numRef>
          </c:val>
        </c:ser>
        <c:ser>
          <c:idx val="5"/>
          <c:order val="5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'!$P$107:$Q$107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val>
        </c:ser>
        <c:ser>
          <c:idx val="6"/>
          <c:order val="6"/>
          <c:cat>
            <c:strRef>
              <c:f>'Datos '!$I$104:$I$107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'!$P$108:$Q$108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axId val="121505664"/>
        <c:axId val="121507200"/>
      </c:barChart>
      <c:catAx>
        <c:axId val="121505664"/>
        <c:scaling>
          <c:orientation val="minMax"/>
        </c:scaling>
        <c:axPos val="b"/>
        <c:tickLblPos val="nextTo"/>
        <c:crossAx val="121507200"/>
        <c:crosses val="autoZero"/>
        <c:auto val="1"/>
        <c:lblAlgn val="ctr"/>
        <c:lblOffset val="100"/>
      </c:catAx>
      <c:valAx>
        <c:axId val="121507200"/>
        <c:scaling>
          <c:orientation val="minMax"/>
        </c:scaling>
        <c:axPos val="l"/>
        <c:majorGridlines/>
        <c:numFmt formatCode="General" sourceLinked="1"/>
        <c:tickLblPos val="nextTo"/>
        <c:crossAx val="1215056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651499482936908"/>
          <c:y val="0.22824858757062527"/>
          <c:w val="0.8345398138572907"/>
          <c:h val="0.67175141242940906"/>
        </c:manualLayout>
      </c:layout>
      <c:barChart>
        <c:barDir val="col"/>
        <c:grouping val="clustered"/>
        <c:ser>
          <c:idx val="1"/>
          <c:order val="0"/>
          <c:tx>
            <c:strRef>
              <c:f>'Datos '!$I$483</c:f>
              <c:strCache>
                <c:ptCount val="1"/>
                <c:pt idx="0">
                  <c:v>Científico y Tecnológico </c:v>
                </c:pt>
              </c:strCache>
            </c:strRef>
          </c:tx>
          <c:spPr>
            <a:gradFill>
              <a:gsLst>
                <a:gs pos="0">
                  <a:srgbClr val="FFF39D">
                    <a:lumMod val="25000"/>
                  </a:srgbClr>
                </a:gs>
                <a:gs pos="50000">
                  <a:srgbClr val="FFF39D">
                    <a:lumMod val="75000"/>
                  </a:srgbClr>
                </a:gs>
                <a:gs pos="100000">
                  <a:schemeClr val="bg2"/>
                </a:gs>
              </a:gsLst>
              <a:lin ang="5400000" scaled="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5849110003739961E-4"/>
                  <c:y val="4.471729169447167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867240118732E-3"/>
                  <c:y val="1.212153565550088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857E-4"/>
                  <c:y val="1.779616530984526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907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653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'!$W$481:$X$481</c:f>
            </c:multiLvlStrRef>
          </c:cat>
          <c:val>
            <c:numRef>
              <c:f>'Datos '!$W$483:$X$483</c:f>
            </c:numRef>
          </c:val>
        </c:ser>
        <c:ser>
          <c:idx val="2"/>
          <c:order val="1"/>
          <c:tx>
            <c:strRef>
              <c:f>'Datos '!$I$482</c:f>
              <c:strCache>
                <c:ptCount val="1"/>
                <c:pt idx="0">
                  <c:v>Administrativo</c:v>
                </c:pt>
              </c:strCache>
            </c:strRef>
          </c:tx>
          <c:spPr>
            <a:gradFill flip="none" rotWithShape="1">
              <a:gsLst>
                <a:gs pos="0">
                  <a:srgbClr val="B32C16">
                    <a:lumMod val="40000"/>
                    <a:lumOff val="60000"/>
                  </a:srgbClr>
                </a:gs>
                <a:gs pos="50000">
                  <a:srgbClr val="FE8637">
                    <a:lumMod val="50000"/>
                  </a:srgbClr>
                </a:gs>
                <a:gs pos="100000">
                  <a:schemeClr val="accent3">
                    <a:lumMod val="50000"/>
                  </a:schemeClr>
                </a:gs>
              </a:gsLst>
              <a:lin ang="16200000" scaled="1"/>
              <a:tileRect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747179067315001E-3"/>
                  <c:y val="2.3643400507140002E-3"/>
                </c:manualLayout>
              </c:layout>
              <c:showVal val="1"/>
            </c:dLbl>
            <c:dLbl>
              <c:idx val="1"/>
              <c:layout>
                <c:manualLayout>
                  <c:x val="-2.6901707889852027E-3"/>
                  <c:y val="1.974856532763947E-2"/>
                </c:manualLayout>
              </c:layout>
              <c:showVal val="1"/>
            </c:dLbl>
            <c:dLbl>
              <c:idx val="2"/>
              <c:layout>
                <c:manualLayout>
                  <c:x val="-4.3089132989710512E-3"/>
                  <c:y val="-3.2228835802304352E-2"/>
                </c:manualLayout>
              </c:layout>
              <c:showVal val="1"/>
            </c:dLbl>
            <c:dLbl>
              <c:idx val="3"/>
              <c:layout>
                <c:manualLayout>
                  <c:x val="-4.9293889970062404E-3"/>
                  <c:y val="-3.1186440677966252E-2"/>
                </c:manualLayout>
              </c:layout>
              <c:showVal val="1"/>
            </c:dLbl>
            <c:dLbl>
              <c:idx val="4"/>
              <c:layout>
                <c:manualLayout>
                  <c:x val="-5.5498646950415311E-3"/>
                  <c:y val="-3.357622670047599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'!$W$481:$X$481</c:f>
            </c:multiLvlStrRef>
          </c:cat>
          <c:val>
            <c:numRef>
              <c:f>'Datos '!$W$482:$X$482</c:f>
            </c:numRef>
          </c:val>
        </c:ser>
        <c:ser>
          <c:idx val="3"/>
          <c:order val="2"/>
          <c:tx>
            <c:strRef>
              <c:f>'Datos '!$I$484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7598D9">
                    <a:lumMod val="60000"/>
                    <a:lumOff val="40000"/>
                  </a:srgbClr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16200000" scaled="1"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4.1779116506457045E-4"/>
                  <c:y val="4.1695804973530884E-3"/>
                </c:manualLayout>
              </c:layout>
              <c:showVal val="1"/>
            </c:dLbl>
            <c:dLbl>
              <c:idx val="1"/>
              <c:layout>
                <c:manualLayout>
                  <c:x val="3.1657788604409716E-4"/>
                  <c:y val="4.909649005738829E-3"/>
                </c:manualLayout>
              </c:layout>
              <c:showVal val="1"/>
            </c:dLbl>
            <c:dLbl>
              <c:idx val="2"/>
              <c:layout>
                <c:manualLayout>
                  <c:x val="-1.9131388307589044E-2"/>
                  <c:y val="-5.3889763779527547E-2"/>
                </c:manualLayout>
              </c:layout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'!$W$481:$X$481</c:f>
            </c:multiLvlStrRef>
          </c:cat>
          <c:val>
            <c:numRef>
              <c:f>'Datos '!$W$484:$X$484</c:f>
            </c:numRef>
          </c:val>
        </c:ser>
        <c:dLbls>
          <c:showVal val="1"/>
        </c:dLbls>
        <c:axId val="121576448"/>
        <c:axId val="121615104"/>
      </c:barChart>
      <c:catAx>
        <c:axId val="1215764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rgbClr val="0033CC"/>
                </a:solidFill>
              </a:defRPr>
            </a:pPr>
            <a:endParaRPr lang="es-MX"/>
          </a:p>
        </c:txPr>
        <c:crossAx val="121615104"/>
        <c:crosses val="autoZero"/>
        <c:lblAlgn val="ctr"/>
        <c:lblOffset val="100"/>
        <c:tickLblSkip val="1"/>
        <c:tickMarkSkip val="1"/>
      </c:catAx>
      <c:valAx>
        <c:axId val="121615104"/>
        <c:scaling>
          <c:orientation val="minMax"/>
          <c:max val="4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276836158192167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>
                <a:solidFill>
                  <a:srgbClr val="0033CC"/>
                </a:solidFill>
              </a:defRPr>
            </a:pPr>
            <a:endParaRPr lang="es-MX"/>
          </a:p>
        </c:txPr>
        <c:crossAx val="121576448"/>
        <c:crosses val="autoZero"/>
        <c:crossBetween val="between"/>
        <c:majorUnit val="5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0337814546728"/>
          <c:y val="8.4745762711867009E-3"/>
          <c:w val="0.80839512911839262"/>
          <c:h val="0.18316259620089864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chemeClr val="tx1">
            <a:lumMod val="75000"/>
            <a:lumOff val="25000"/>
          </a:scheme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56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'!$I$462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gradFill>
              <a:gsLst>
                <a:gs pos="0">
                  <a:srgbClr val="B32C16">
                    <a:lumMod val="75000"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8475767665557413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876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62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642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'!$W$461:$X$461</c:f>
            </c:multiLvlStrRef>
          </c:cat>
          <c:val>
            <c:numRef>
              <c:f>'Datos '!$W$462:$X$462</c:f>
            </c:numRef>
          </c:val>
        </c:ser>
        <c:ser>
          <c:idx val="1"/>
          <c:order val="1"/>
          <c:tx>
            <c:strRef>
              <c:f>'Datos '!$I$463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gradFill>
              <a:gsLst>
                <a:gs pos="0">
                  <a:srgbClr val="AEBAD5">
                    <a:lumMod val="50000"/>
                  </a:srgbClr>
                </a:gs>
                <a:gs pos="50000">
                  <a:schemeClr val="accent5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5009248982612461E-3"/>
                  <c:y val="1.21188766575465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810423530577012E-3"/>
                  <c:y val="5.717417459848514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012051351516427E-3"/>
                  <c:y val="1.538151939816735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38306518566494E-3"/>
                  <c:y val="-4.241435562805833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'!$W$461:$X$461</c:f>
            </c:multiLvlStrRef>
          </c:cat>
          <c:val>
            <c:numRef>
              <c:f>'Datos '!$W$463:$X$463</c:f>
            </c:numRef>
          </c:val>
        </c:ser>
        <c:ser>
          <c:idx val="4"/>
          <c:order val="2"/>
          <c:tx>
            <c:strRef>
              <c:f>'Datos '!$I$464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gradFill>
              <a:gsLst>
                <a:gs pos="0">
                  <a:srgbClr val="339933"/>
                </a:gs>
                <a:gs pos="50000">
                  <a:srgbClr val="33CC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-5.9193488716243053E-5"/>
                  <c:y val="6.664868359644359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2789493155752792E-3"/>
                  <c:y val="6.8515497553019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789493155752866E-3"/>
                  <c:y val="2.858623096256525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5.9193488716271859E-5"/>
                  <c:y val="5.033718256669833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605623381428423E-3"/>
                  <c:y val="8.110022136303109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'!$W$461:$X$461</c:f>
            </c:multiLvlStrRef>
          </c:cat>
          <c:val>
            <c:numRef>
              <c:f>'Datos '!$W$464:$X$464</c:f>
            </c:numRef>
          </c:val>
        </c:ser>
        <c:ser>
          <c:idx val="5"/>
          <c:order val="3"/>
          <c:tx>
            <c:strRef>
              <c:f>'Datos '!$I$465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gradFill>
              <a:gsLst>
                <a:gs pos="0">
                  <a:srgbClr val="6600FF"/>
                </a:gs>
                <a:gs pos="50000">
                  <a:srgbClr val="CC66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'!$W$461:$X$461</c:f>
            </c:multiLvlStrRef>
          </c:cat>
          <c:val>
            <c:numRef>
              <c:f>'Datos '!$W$465:$X$465</c:f>
            </c:numRef>
          </c:val>
        </c:ser>
        <c:ser>
          <c:idx val="2"/>
          <c:order val="4"/>
          <c:tx>
            <c:strRef>
              <c:f>'Datos '!$I$466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'!$W$461:$X$461</c:f>
            </c:multiLvlStrRef>
          </c:cat>
          <c:val>
            <c:numRef>
              <c:f>'Datos '!$W$466:$X$466</c:f>
            </c:numRef>
          </c:val>
        </c:ser>
        <c:dLbls>
          <c:showVal val="1"/>
        </c:dLbls>
        <c:axId val="123127680"/>
        <c:axId val="123129216"/>
      </c:barChart>
      <c:catAx>
        <c:axId val="1231276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MX"/>
          </a:p>
        </c:txPr>
        <c:crossAx val="123129216"/>
        <c:crosses val="autoZero"/>
        <c:auto val="1"/>
        <c:lblAlgn val="ctr"/>
        <c:lblOffset val="100"/>
        <c:tickLblSkip val="1"/>
        <c:tickMarkSkip val="1"/>
      </c:catAx>
      <c:valAx>
        <c:axId val="123129216"/>
        <c:scaling>
          <c:orientation val="minMax"/>
          <c:max val="3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MX">
                    <a:solidFill>
                      <a:sysClr val="windowText" lastClr="000000"/>
                    </a:solidFill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77759651984836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>
                <a:solidFill>
                  <a:sysClr val="windowText" lastClr="000000"/>
                </a:solidFill>
              </a:defRPr>
            </a:pPr>
            <a:endParaRPr lang="es-MX"/>
          </a:p>
        </c:txPr>
        <c:crossAx val="12312768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691453940067741E-3"/>
          <c:y val="1.9032082653616101E-2"/>
          <c:w val="0.98353966575487717"/>
          <c:h val="0.19361035824844897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ysClr val="windowText" lastClr="000000">
            <a:lumMod val="75000"/>
            <a:lumOff val="25000"/>
          </a:sys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chemeClr val="bg1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446"/>
        </c:manualLayout>
      </c:layout>
      <c:barChart>
        <c:barDir val="col"/>
        <c:grouping val="clustered"/>
        <c:ser>
          <c:idx val="1"/>
          <c:order val="0"/>
          <c:tx>
            <c:strRef>
              <c:f>'Datos '!$I$489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>
              <a:gsLst>
                <a:gs pos="0">
                  <a:srgbClr val="FE8637">
                    <a:lumMod val="50000"/>
                  </a:srgbClr>
                </a:gs>
                <a:gs pos="50000">
                  <a:srgbClr val="FE8637">
                    <a:lumMod val="75000"/>
                  </a:srgbClr>
                </a:gs>
                <a:gs pos="100000">
                  <a:schemeClr val="accent1">
                    <a:lumMod val="40000"/>
                    <a:lumOff val="6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.16530723219140908"/>
                </c:manualLayout>
              </c:layout>
              <c:showVal val="1"/>
            </c:dLbl>
            <c:dLbl>
              <c:idx val="1"/>
              <c:layout>
                <c:manualLayout>
                  <c:x val="-1.4798372179060304E-3"/>
                  <c:y val="0.33061446438281911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showVal val="1"/>
          </c:dLbls>
          <c:cat>
            <c:multiLvlStrRef>
              <c:f>'Datos '!$W$488:$X$488</c:f>
            </c:multiLvlStrRef>
          </c:cat>
          <c:val>
            <c:numRef>
              <c:f>'Datos '!$W$489:$X$489</c:f>
            </c:numRef>
          </c:val>
        </c:ser>
        <c:ser>
          <c:idx val="0"/>
          <c:order val="1"/>
          <c:tx>
            <c:strRef>
              <c:f>'Datos '!$I$490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>
              <a:gsLst>
                <a:gs pos="0">
                  <a:srgbClr val="F5CD2D">
                    <a:lumMod val="75000"/>
                  </a:srgbClr>
                </a:gs>
                <a:gs pos="50000">
                  <a:srgbClr val="F5CD2D">
                    <a:lumMod val="40000"/>
                    <a:lumOff val="60000"/>
                  </a:srgb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0.1065796628602502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0.14573137574768921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25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showVal val="1"/>
          </c:dLbls>
          <c:cat>
            <c:multiLvlStrRef>
              <c:f>'Datos '!$W$488:$X$488</c:f>
            </c:multiLvlStrRef>
          </c:cat>
          <c:val>
            <c:numRef>
              <c:f>'Datos '!$W$490:$X$490</c:f>
            </c:numRef>
          </c:val>
        </c:ser>
        <c:dLbls>
          <c:showVal val="1"/>
        </c:dLbls>
        <c:axId val="123147008"/>
        <c:axId val="123148544"/>
      </c:barChart>
      <c:lineChart>
        <c:grouping val="standard"/>
        <c:ser>
          <c:idx val="2"/>
          <c:order val="2"/>
          <c:tx>
            <c:strRef>
              <c:f>'Datos '!$I$491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2.0717721050684423E-2"/>
                  <c:y val="-5.00271886895051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395116537180911E-3"/>
                  <c:y val="-1.740076128330618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4.13268080478520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'!$W$488:$X$488</c:f>
            </c:multiLvlStrRef>
          </c:cat>
          <c:val>
            <c:numRef>
              <c:f>'Datos '!$W$491:$X$491</c:f>
            </c:numRef>
          </c:val>
        </c:ser>
        <c:ser>
          <c:idx val="3"/>
          <c:order val="3"/>
          <c:tx>
            <c:strRef>
              <c:f>'Datos '!$I$492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7758046614872364E-2"/>
                  <c:y val="-4.567699836867862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8790233074361822E-3"/>
                  <c:y val="-1.522566612289287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43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'!$W$488:$X$488</c:f>
            </c:multiLvlStrRef>
          </c:cat>
          <c:val>
            <c:numRef>
              <c:f>'Datos '!$W$492:$X$492</c:f>
            </c:numRef>
          </c:val>
        </c:ser>
        <c:dLbls>
          <c:showVal val="1"/>
        </c:dLbls>
        <c:marker val="1"/>
        <c:axId val="123171200"/>
        <c:axId val="123172736"/>
      </c:lineChart>
      <c:catAx>
        <c:axId val="12314700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3148544"/>
        <c:crossesAt val="0"/>
        <c:lblAlgn val="ctr"/>
        <c:lblOffset val="100"/>
        <c:tickLblSkip val="1"/>
        <c:tickMarkSkip val="1"/>
      </c:catAx>
      <c:valAx>
        <c:axId val="123148544"/>
        <c:scaling>
          <c:orientation val="minMax"/>
          <c:max val="55"/>
        </c:scaling>
        <c:axPos val="l"/>
        <c:title>
          <c:tx>
            <c:rich>
              <a:bodyPr/>
              <a:lstStyle/>
              <a:p>
                <a:pPr>
                  <a:defRPr sz="2000"/>
                </a:pPr>
                <a:r>
                  <a:rPr lang="es-MX" sz="2000"/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76019575856444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123147008"/>
        <c:crosses val="autoZero"/>
        <c:crossBetween val="between"/>
        <c:majorUnit val="5"/>
      </c:valAx>
      <c:catAx>
        <c:axId val="123171200"/>
        <c:scaling>
          <c:orientation val="minMax"/>
        </c:scaling>
        <c:delete val="1"/>
        <c:axPos val="b"/>
        <c:numFmt formatCode="General" sourceLinked="1"/>
        <c:tickLblPos val="none"/>
        <c:crossAx val="123172736"/>
        <c:crosses val="autoZero"/>
        <c:lblAlgn val="ctr"/>
        <c:lblOffset val="100"/>
      </c:catAx>
      <c:valAx>
        <c:axId val="123172736"/>
        <c:scaling>
          <c:orientation val="minMax"/>
          <c:max val="5"/>
          <c:min val="0"/>
        </c:scaling>
        <c:axPos val="r"/>
        <c:title>
          <c:tx>
            <c:rich>
              <a:bodyPr rot="5400000" vert="horz"/>
              <a:lstStyle/>
              <a:p>
                <a:pPr algn="ctr">
                  <a:defRPr sz="2000"/>
                </a:pPr>
                <a:r>
                  <a:rPr lang="es-MX" sz="2000"/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123171200"/>
        <c:crosses val="max"/>
        <c:crossBetween val="between"/>
        <c:majorUnit val="0.5"/>
      </c:valAx>
      <c:spPr>
        <a:gradFill flip="none" rotWithShape="1">
          <a:gsLst>
            <a:gs pos="0">
              <a:srgbClr val="F5CD2D">
                <a:lumMod val="75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</a:gsLst>
          <a:path path="shape">
            <a:fillToRect l="50000" t="50000" r="50000" b="50000"/>
          </a:path>
          <a:tileRect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7270255573681368"/>
          <c:w val="1"/>
          <c:h val="0.22729744426318654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/>
          </a:pPr>
          <a:endParaRPr lang="es-MX"/>
        </a:p>
      </c:txPr>
    </c:legend>
    <c:plotVisOnly val="1"/>
    <c:dispBlanksAs val="gap"/>
  </c:chart>
  <c:spPr>
    <a:gradFill>
      <a:gsLst>
        <a:gs pos="0">
          <a:srgbClr val="FE8637">
            <a:lumMod val="60000"/>
            <a:lumOff val="40000"/>
          </a:srgbClr>
        </a:gs>
        <a:gs pos="50000">
          <a:srgbClr val="F5CD2D">
            <a:lumMod val="40000"/>
            <a:lumOff val="60000"/>
          </a:srgbClr>
        </a:gs>
        <a:gs pos="50000">
          <a:srgbClr val="F5CD2D">
            <a:lumMod val="40000"/>
            <a:lumOff val="60000"/>
          </a:srgbClr>
        </a:gs>
        <a:gs pos="50000">
          <a:srgbClr val="FE8637">
            <a:lumMod val="75000"/>
          </a:srgbClr>
        </a:gs>
        <a:gs pos="50000">
          <a:schemeClr val="accent4">
            <a:lumMod val="40000"/>
            <a:lumOff val="60000"/>
          </a:schemeClr>
        </a:gs>
      </a:gsLst>
      <a:path path="shape">
        <a:fillToRect l="50000" t="50000" r="50000" b="50000"/>
      </a:path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1239425159268727E-2"/>
          <c:y val="0.15989715328091231"/>
          <c:w val="0.71688299539625056"/>
          <c:h val="0.53213547345044065"/>
        </c:manualLayout>
      </c:layout>
      <c:barChart>
        <c:barDir val="col"/>
        <c:grouping val="clustered"/>
        <c:ser>
          <c:idx val="0"/>
          <c:order val="0"/>
          <c:tx>
            <c:strRef>
              <c:f>'Datos '!$N$643</c:f>
              <c:strCache>
                <c:ptCount val="1"/>
                <c:pt idx="0">
                  <c:v>Modificado </c:v>
                </c:pt>
              </c:strCache>
            </c:strRef>
          </c:tx>
          <c:spPr>
            <a:solidFill>
              <a:schemeClr val="accent1"/>
            </a:solidFill>
            <a:effectLst>
              <a:innerShdw blurRad="101600" dist="50800" dir="18900000">
                <a:srgbClr val="FF000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4.5186165888555967E-3"/>
                  <c:y val="-9.094367791182065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261688442790821E-3"/>
                  <c:y val="9.3231527877197227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713564650572552E-3"/>
                  <c:y val="-3.49669927622684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1.010101010101018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8461826887024311E-3"/>
                  <c:y val="8.236061401415703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3470623864324924E-3"/>
                  <c:y val="1.2820488348047788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'!$I$644:$I$651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'!$N$644:$N$651</c:f>
            </c:numRef>
          </c:val>
        </c:ser>
        <c:ser>
          <c:idx val="1"/>
          <c:order val="1"/>
          <c:tx>
            <c:strRef>
              <c:f>'Datos '!$O$643</c:f>
              <c:strCache>
                <c:ptCount val="1"/>
                <c:pt idx="0">
                  <c:v>Ejercido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6208858848396212E-3"/>
                  <c:y val="1.491487875942114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4220241700557264E-5"/>
                  <c:y val="1.0800286327845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1913703094805456E-3"/>
                  <c:y val="9.323948142845780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537019411035579E-7"/>
                  <c:y val="8.77992523661815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7.2417458708861834E-3"/>
                  <c:y val="7.692307692307701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3.9660811629316272E-3"/>
                  <c:y val="6.759882287441402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1.7261688442790821E-3"/>
                  <c:y val="-4.97287839020136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'!$I$644:$I$651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'!$O$644:$O$651</c:f>
            </c:numRef>
          </c:val>
        </c:ser>
        <c:gapWidth val="25"/>
        <c:axId val="111488384"/>
        <c:axId val="111522944"/>
      </c:barChart>
      <c:catAx>
        <c:axId val="111488384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522944"/>
        <c:crossesAt val="0"/>
        <c:auto val="1"/>
        <c:lblAlgn val="ctr"/>
        <c:lblOffset val="100"/>
        <c:tickMarkSkip val="1"/>
      </c:catAx>
      <c:valAx>
        <c:axId val="111522944"/>
        <c:scaling>
          <c:orientation val="minMax"/>
          <c:max val="200"/>
          <c:min val="0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488384"/>
        <c:crosses val="autoZero"/>
        <c:crossBetween val="between"/>
        <c:majorUnit val="25"/>
        <c:minorUnit val="4"/>
      </c:valAx>
    </c:plotArea>
    <c:legend>
      <c:legendPos val="r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>
      <a:noFill/>
    </a:ln>
    <a:effectLst>
      <a:outerShdw blurRad="50800" dist="50800" dir="5400000" algn="ctr" rotWithShape="0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'!$I$497</c:f>
              <c:strCache>
                <c:ptCount val="1"/>
                <c:pt idx="0">
                  <c:v>Doctorado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FF00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'!$W$496:$X$496</c:f>
            </c:multiLvlStrRef>
          </c:cat>
          <c:val>
            <c:numRef>
              <c:f>'Datos '!$W$497:$X$497</c:f>
            </c:numRef>
          </c:val>
        </c:ser>
        <c:ser>
          <c:idx val="1"/>
          <c:order val="1"/>
          <c:tx>
            <c:strRef>
              <c:f>'Datos '!$I$498</c:f>
              <c:strCache>
                <c:ptCount val="1"/>
                <c:pt idx="0">
                  <c:v>Maestría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99FF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multiLvlStrRef>
              <c:f>'Datos '!$W$496:$X$496</c:f>
            </c:multiLvlStrRef>
          </c:cat>
          <c:val>
            <c:numRef>
              <c:f>'Datos '!$W$498:$X$498</c:f>
            </c:numRef>
          </c:val>
        </c:ser>
        <c:ser>
          <c:idx val="2"/>
          <c:order val="2"/>
          <c:tx>
            <c:strRef>
              <c:f>'Datos '!$I$499</c:f>
              <c:strCache>
                <c:ptCount val="1"/>
                <c:pt idx="0">
                  <c:v>Licenciatura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chemeClr val="accent4">
                    <a:lumMod val="40000"/>
                    <a:lumOff val="6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multiLvlStrRef>
              <c:f>'Datos '!$W$496:$X$496</c:f>
            </c:multiLvlStrRef>
          </c:cat>
          <c:val>
            <c:numRef>
              <c:f>'Datos '!$W$499:$X$499</c:f>
            </c:numRef>
          </c:val>
        </c:ser>
        <c:ser>
          <c:idx val="3"/>
          <c:order val="3"/>
          <c:tx>
            <c:strRef>
              <c:f>'Datos '!$I$500</c:f>
              <c:strCache>
                <c:ptCount val="1"/>
                <c:pt idx="0">
                  <c:v>Total 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'!$W$496:$X$496</c:f>
            </c:multiLvlStrRef>
          </c:cat>
          <c:val>
            <c:numRef>
              <c:f>'Datos '!$W$500:$X$500</c:f>
            </c:numRef>
          </c:val>
        </c:ser>
        <c:gapWidth val="55"/>
        <c:gapDepth val="55"/>
        <c:shape val="box"/>
        <c:axId val="123279616"/>
        <c:axId val="123289600"/>
        <c:axId val="0"/>
      </c:bar3DChart>
      <c:catAx>
        <c:axId val="123279616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es-MX"/>
          </a:p>
        </c:txPr>
        <c:crossAx val="123289600"/>
        <c:crosses val="autoZero"/>
        <c:auto val="1"/>
        <c:lblAlgn val="ctr"/>
        <c:lblOffset val="100"/>
        <c:tickLblSkip val="1"/>
        <c:tickMarkSkip val="1"/>
      </c:catAx>
      <c:valAx>
        <c:axId val="123289600"/>
        <c:scaling>
          <c:orientation val="minMax"/>
          <c:max val="1"/>
          <c:min val="0"/>
        </c:scaling>
        <c:axPos val="l"/>
        <c:numFmt formatCode="0%" sourceLinked="1"/>
        <c:majorTickMark val="none"/>
        <c:tickLblPos val="none"/>
        <c:crossAx val="123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2400"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003399"/>
        </a:gs>
        <a:gs pos="50000">
          <a:srgbClr val="336699"/>
        </a:gs>
        <a:gs pos="100000">
          <a:sysClr val="windowText" lastClr="000000">
            <a:lumMod val="75000"/>
            <a:lumOff val="25000"/>
          </a:sysClr>
        </a:gs>
      </a:gsLst>
      <a:lin ang="0" scaled="1"/>
      <a:tileRect/>
    </a:gradFill>
    <a:ln w="9525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857980006894174"/>
          <c:y val="0.12542372881355865"/>
          <c:w val="0.77697345742847801"/>
          <c:h val="0.75084745762712235"/>
        </c:manualLayout>
      </c:layout>
      <c:barChart>
        <c:barDir val="col"/>
        <c:grouping val="clustered"/>
        <c:ser>
          <c:idx val="0"/>
          <c:order val="0"/>
          <c:tx>
            <c:strRef>
              <c:f>'Datos '!$I$505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delete val="1"/>
            </c:dLbl>
            <c:dLbl>
              <c:idx val="1"/>
              <c:layout>
                <c:manualLayout>
                  <c:x val="-6.8692033971455048E-4"/>
                  <c:y val="-2.734285332977468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91E-3"/>
                  <c:y val="-1.022589972863587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9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'!$X$504</c:f>
            </c:multiLvlStrRef>
          </c:cat>
          <c:val>
            <c:numRef>
              <c:f>'Datos '!$X$505</c:f>
            </c:numRef>
          </c:val>
        </c:ser>
        <c:ser>
          <c:idx val="1"/>
          <c:order val="1"/>
          <c:tx>
            <c:strRef>
              <c:f>'Datos '!$I$506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986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98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'!$X$504</c:f>
            </c:multiLvlStrRef>
          </c:cat>
          <c:val>
            <c:numRef>
              <c:f>'Datos '!$X$506</c:f>
            </c:numRef>
          </c:val>
        </c:ser>
        <c:ser>
          <c:idx val="2"/>
          <c:order val="2"/>
          <c:tx>
            <c:strRef>
              <c:f>'Datos '!$I$507</c:f>
              <c:strCache>
                <c:ptCount val="1"/>
                <c:pt idx="0">
                  <c:v>Nivel I</c:v>
                </c:pt>
              </c:strCache>
            </c:strRef>
          </c:tx>
          <c:spPr>
            <a:gradFill>
              <a:gsLst>
                <a:gs pos="0">
                  <a:srgbClr val="575F6D">
                    <a:lumMod val="50000"/>
                  </a:srgbClr>
                </a:gs>
                <a:gs pos="50000">
                  <a:prstClr val="white"/>
                </a:gs>
                <a:gs pos="100000">
                  <a:schemeClr val="tx1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dLbls>
            <c:dLbl>
              <c:idx val="0"/>
              <c:layout>
                <c:manualLayout>
                  <c:x val="9.1697948304553397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84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68E-3"/>
                  <c:y val="-5.2767471862629582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'!$X$504</c:f>
            </c:multiLvlStrRef>
          </c:cat>
          <c:val>
            <c:numRef>
              <c:f>'Datos '!$X$507</c:f>
            </c:numRef>
          </c:val>
        </c:ser>
        <c:ser>
          <c:idx val="3"/>
          <c:order val="3"/>
          <c:tx>
            <c:strRef>
              <c:f>'Datos '!$I$508</c:f>
              <c:strCache>
                <c:ptCount val="1"/>
                <c:pt idx="0">
                  <c:v>Candidato</c:v>
                </c:pt>
              </c:strCache>
            </c:strRef>
          </c:tx>
          <c:spPr>
            <a:gradFill>
              <a:gsLst>
                <a:gs pos="0">
                  <a:prstClr val="white">
                    <a:lumMod val="50000"/>
                  </a:prstClr>
                </a:gs>
                <a:gs pos="50000">
                  <a:srgbClr val="99FF33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softEdge">
              <a:bevelT prst="angle"/>
            </a:sp3d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67E-3"/>
                  <c:y val="-2.575132345744961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825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'!$X$504</c:f>
            </c:multiLvlStrRef>
          </c:cat>
          <c:val>
            <c:numRef>
              <c:f>'Datos '!$X$508</c:f>
            </c:numRef>
          </c:val>
        </c:ser>
        <c:ser>
          <c:idx val="4"/>
          <c:order val="4"/>
          <c:tx>
            <c:strRef>
              <c:f>'Datos '!$I$509</c:f>
              <c:strCache>
                <c:ptCount val="1"/>
                <c:pt idx="0">
                  <c:v>T o t a l</c:v>
                </c:pt>
              </c:strCache>
            </c:strRef>
          </c:tx>
          <c:spPr>
            <a:gradFill>
              <a:gsLst>
                <a:gs pos="0">
                  <a:srgbClr val="FFF39D">
                    <a:lumMod val="10000"/>
                  </a:srgbClr>
                </a:gs>
                <a:gs pos="50000">
                  <a:schemeClr val="bg2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0282634008908441E-3"/>
                  <c:y val="-8.05640820321207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1951322785791157E-4"/>
                  <c:y val="-8.7681836380623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3316369321467484E-4"/>
                  <c:y val="-2.700475999822044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268799517949456E-4"/>
                  <c:y val="3.1656212464965762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'!$X$504</c:f>
            </c:multiLvlStrRef>
          </c:cat>
          <c:val>
            <c:numRef>
              <c:f>'Datos '!$X$509</c:f>
            </c:numRef>
          </c:val>
        </c:ser>
        <c:dLbls>
          <c:showVal val="1"/>
        </c:dLbls>
        <c:axId val="123351808"/>
        <c:axId val="123353344"/>
      </c:barChart>
      <c:catAx>
        <c:axId val="123351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3353344"/>
        <c:crosses val="autoZero"/>
        <c:auto val="1"/>
        <c:lblAlgn val="ctr"/>
        <c:lblOffset val="100"/>
        <c:tickLblSkip val="1"/>
        <c:tickMarkSkip val="1"/>
      </c:catAx>
      <c:valAx>
        <c:axId val="123353344"/>
        <c:scaling>
          <c:orientation val="minMax"/>
          <c:max val="15"/>
        </c:scaling>
        <c:axPos val="l"/>
        <c:title>
          <c:tx>
            <c:rich>
              <a:bodyPr/>
              <a:lstStyle/>
              <a:p>
                <a:pPr>
                  <a:defRPr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Investigadores  en el  SNI</a:t>
                </a:r>
              </a:p>
            </c:rich>
          </c:tx>
          <c:layout>
            <c:manualLayout>
              <c:xMode val="edge"/>
              <c:yMode val="edge"/>
              <c:x val="3.4470872113064678E-4"/>
              <c:y val="0.19830508474576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000CC"/>
                </a:solidFill>
              </a:defRPr>
            </a:pPr>
            <a:endParaRPr lang="es-MX"/>
          </a:p>
        </c:txPr>
        <c:crossAx val="123351808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63219579455355"/>
          <c:y val="0.18474576271186502"/>
          <c:w val="0.20234401930368837"/>
          <c:h val="0.59548022598869876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ysClr val="window" lastClr="FFFFFF"/>
        </a:gs>
        <a:gs pos="50000">
          <a:schemeClr val="accent2">
            <a:lumMod val="60000"/>
            <a:lumOff val="40000"/>
          </a:schemeClr>
        </a:gs>
        <a:gs pos="100000">
          <a:prstClr val="black"/>
        </a:gs>
      </a:gsLst>
      <a:lin ang="0" scaled="1"/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317425083241037"/>
          <c:y val="0.28765633496465964"/>
          <c:w val="0.7229004809470958"/>
          <c:h val="0.54975530179445353"/>
        </c:manualLayout>
      </c:layout>
      <c:barChart>
        <c:barDir val="col"/>
        <c:grouping val="clustered"/>
        <c:ser>
          <c:idx val="1"/>
          <c:order val="0"/>
          <c:tx>
            <c:strRef>
              <c:f>'Datos '!$I$535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3966284181182021E-3"/>
                  <c:y val="1.734098898322864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6684844194697641E-3"/>
                  <c:y val="1.774877650897227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233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'!$V$534:$W$534</c:f>
            </c:multiLvlStrRef>
          </c:cat>
          <c:val>
            <c:numRef>
              <c:f>'Datos '!$V$535:$W$535</c:f>
            </c:numRef>
          </c:val>
        </c:ser>
        <c:ser>
          <c:idx val="0"/>
          <c:order val="1"/>
          <c:tx>
            <c:strRef>
              <c:f>'Datos '!$I$536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5.6977228567849664E-3"/>
                  <c:y val="1.55300081780152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4046E-4"/>
                  <c:y val="1.17564749757014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89E-4"/>
                  <c:y val="-1.718325176726497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55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'!$V$534:$W$534</c:f>
            </c:multiLvlStrRef>
          </c:cat>
          <c:val>
            <c:numRef>
              <c:f>'Datos '!$V$536:$W$536</c:f>
            </c:numRef>
          </c:val>
        </c:ser>
        <c:axId val="122252288"/>
        <c:axId val="122286848"/>
      </c:barChart>
      <c:lineChart>
        <c:grouping val="standard"/>
        <c:ser>
          <c:idx val="3"/>
          <c:order val="2"/>
          <c:tx>
            <c:strRef>
              <c:f>'Datos '!$I$537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177580466148721E-2"/>
                  <c:y val="-4.2825739767847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5.4679985201627819E-2"/>
                  <c:y val="-4.2843551570735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2.3677395486497256E-2"/>
                  <c:y val="-2.38405843641485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2641509433962252E-2"/>
                  <c:y val="-3.3564458602544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2175360710321325E-3"/>
                  <c:y val="-9.6426935213848666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'!$V$534:$W$534</c:f>
            </c:multiLvlStrRef>
          </c:cat>
          <c:val>
            <c:numRef>
              <c:f>'Datos '!$V$537:$W$537</c:f>
            </c:numRef>
          </c:val>
        </c:ser>
        <c:marker val="1"/>
        <c:axId val="122288768"/>
        <c:axId val="123535744"/>
      </c:lineChart>
      <c:catAx>
        <c:axId val="122252288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/>
            </a:pPr>
            <a:endParaRPr lang="es-MX"/>
          </a:p>
        </c:txPr>
        <c:crossAx val="122286848"/>
        <c:crosses val="autoZero"/>
        <c:lblAlgn val="ctr"/>
        <c:lblOffset val="100"/>
        <c:tickLblSkip val="1"/>
        <c:tickMarkSkip val="1"/>
      </c:catAx>
      <c:valAx>
        <c:axId val="122286848"/>
        <c:scaling>
          <c:orientation val="minMax"/>
          <c:max val="2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Alumnos</a:t>
                </a:r>
              </a:p>
            </c:rich>
          </c:tx>
          <c:layout>
            <c:manualLayout>
              <c:xMode val="edge"/>
              <c:yMode val="edge"/>
              <c:x val="1.1838697743248243E-2"/>
              <c:y val="0.26590538336052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22252288"/>
        <c:crosses val="autoZero"/>
        <c:crossBetween val="between"/>
        <c:majorUnit val="5"/>
      </c:valAx>
      <c:catAx>
        <c:axId val="122288768"/>
        <c:scaling>
          <c:orientation val="minMax"/>
        </c:scaling>
        <c:delete val="1"/>
        <c:axPos val="b"/>
        <c:numFmt formatCode="General" sourceLinked="1"/>
        <c:tickLblPos val="none"/>
        <c:crossAx val="123535744"/>
        <c:crosses val="autoZero"/>
        <c:lblAlgn val="ctr"/>
        <c:lblOffset val="100"/>
      </c:catAx>
      <c:valAx>
        <c:axId val="123535744"/>
        <c:scaling>
          <c:orientation val="minMax"/>
          <c:max val="2.5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22288768"/>
        <c:crosses val="max"/>
        <c:crossBetween val="between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58860525342212"/>
          <c:y val="1.5769439912996203E-2"/>
          <c:w val="0.74990751017389512"/>
          <c:h val="0.19032082653616095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>
              <a:solidFill>
                <a:schemeClr val="tx1">
                  <a:lumMod val="85000"/>
                  <a:lumOff val="1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rgbClr val="0000CC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33"/>
          <c:y val="0.10342134733158488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'!$I$155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7070534052278002E-3"/>
                  <c:y val="4.7309176075666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9522140753493742E-3"/>
                  <c:y val="-4.2006739369650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258033506079418E-4"/>
                  <c:y val="-6.1176692228312533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516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'!$Q$155:$Q$155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0"/>
          <c:order val="1"/>
          <c:tx>
            <c:strRef>
              <c:f>'Datos '!$I$156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98162729658793E-4"/>
                  <c:y val="8.57252843394585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012540099154321E-3"/>
                  <c:y val="9.797025371828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642169728784208E-3"/>
                  <c:y val="1.580402449693825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8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'!$Q$156:$Q$156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dLbls>
          <c:showVal val="1"/>
        </c:dLbls>
        <c:axId val="122995840"/>
        <c:axId val="122997376"/>
      </c:barChart>
      <c:lineChart>
        <c:grouping val="standard"/>
        <c:ser>
          <c:idx val="2"/>
          <c:order val="2"/>
          <c:tx>
            <c:strRef>
              <c:f>'Datos '!$I$157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9541833075526831E-3"/>
                  <c:y val="-3.75529323108673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025780110819612E-2"/>
                  <c:y val="-4.572405949256342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698629337999398E-2"/>
                  <c:y val="-5.5203849518810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45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9755497229512991E-2"/>
                  <c:y val="-3.598687664042001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'!$Q$157:$Q$157</c:f>
              <c:numCache>
                <c:formatCode>General</c:formatCode>
                <c:ptCount val="1"/>
                <c:pt idx="0">
                  <c:v>2.4</c:v>
                </c:pt>
              </c:numCache>
            </c:numRef>
          </c:val>
        </c:ser>
        <c:ser>
          <c:idx val="3"/>
          <c:order val="3"/>
          <c:tx>
            <c:strRef>
              <c:f>'Datos '!$I$158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dLbls>
            <c:dLbl>
              <c:idx val="0"/>
              <c:layout>
                <c:manualLayout>
                  <c:x val="-2.7931985749284637E-2"/>
                  <c:y val="-3.53343352472458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146716538346392E-3"/>
                  <c:y val="-3.04403711363160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283817047841305E-2"/>
                  <c:y val="-4.822185970636094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84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948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'!$Q$154:$Q$154</c:f>
              <c:strCache>
                <c:ptCount val="1"/>
                <c:pt idx="0">
                  <c:v>2009</c:v>
                </c:pt>
              </c:strCache>
            </c:strRef>
          </c:cat>
          <c:val>
            <c:numRef>
              <c:f>'Datos '!$Q$158:$Q$158</c:f>
              <c:numCache>
                <c:formatCode>General</c:formatCode>
                <c:ptCount val="1"/>
                <c:pt idx="0">
                  <c:v>4.3</c:v>
                </c:pt>
              </c:numCache>
            </c:numRef>
          </c:val>
        </c:ser>
        <c:dLbls>
          <c:showVal val="1"/>
        </c:dLbls>
        <c:marker val="1"/>
        <c:axId val="122299136"/>
        <c:axId val="122300672"/>
      </c:lineChart>
      <c:catAx>
        <c:axId val="1229958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2997376"/>
        <c:crosses val="autoZero"/>
        <c:lblAlgn val="ctr"/>
        <c:lblOffset val="100"/>
        <c:tickLblSkip val="1"/>
        <c:tickMarkSkip val="1"/>
      </c:catAx>
      <c:valAx>
        <c:axId val="122997376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701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2995840"/>
        <c:crosses val="autoZero"/>
        <c:crossBetween val="between"/>
      </c:valAx>
      <c:catAx>
        <c:axId val="122299136"/>
        <c:scaling>
          <c:orientation val="minMax"/>
        </c:scaling>
        <c:delete val="1"/>
        <c:axPos val="b"/>
        <c:numFmt formatCode="General" sourceLinked="1"/>
        <c:tickLblPos val="none"/>
        <c:crossAx val="122300672"/>
        <c:crosses val="autoZero"/>
        <c:lblAlgn val="ctr"/>
        <c:lblOffset val="100"/>
      </c:catAx>
      <c:valAx>
        <c:axId val="122300672"/>
        <c:scaling>
          <c:orientation val="minMax"/>
          <c:max val="4.5"/>
        </c:scaling>
        <c:axPos val="r"/>
        <c:title>
          <c:tx>
            <c:rich>
              <a:bodyPr rot="5400000" vert="horz"/>
              <a:lstStyle/>
              <a:p>
                <a:pPr algn="ctr">
                  <a:defRPr b="1">
                    <a:solidFill>
                      <a:srgbClr val="FF0000"/>
                    </a:solidFill>
                  </a:defRPr>
                </a:pPr>
                <a:r>
                  <a:rPr lang="es-MX" b="1">
                    <a:solidFill>
                      <a:srgbClr val="FF0000"/>
                    </a:solidFill>
                  </a:rPr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2046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229913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3107489063868911"/>
          <c:w val="0.99001108194808951"/>
          <c:h val="0.1067028871391058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'!$I$581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66E-3"/>
                  <c:y val="7.308491006324149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83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18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'!$L$581:$M$581</c:f>
            </c:numRef>
          </c:val>
        </c:ser>
        <c:ser>
          <c:idx val="2"/>
          <c:order val="1"/>
          <c:tx>
            <c:strRef>
              <c:f>'Datos '!$I$582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4021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84E-4"/>
                  <c:y val="5.7494444515807347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9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391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'!$L$582:$M$582</c:f>
            </c:numRef>
          </c:val>
        </c:ser>
        <c:ser>
          <c:idx val="0"/>
          <c:order val="2"/>
          <c:tx>
            <c:strRef>
              <c:f>'Datos '!$I$583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'!$L$583:$M$583</c:f>
            </c:numRef>
          </c:val>
        </c:ser>
        <c:ser>
          <c:idx val="3"/>
          <c:order val="3"/>
          <c:tx>
            <c:strRef>
              <c:f>'Datos '!$I$584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'!$L$584:$M$584</c:f>
            </c:numRef>
          </c:val>
        </c:ser>
        <c:ser>
          <c:idx val="4"/>
          <c:order val="4"/>
          <c:tx>
            <c:strRef>
              <c:f>'Datos '!$I$585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'!$L$585:$M$585</c:f>
            </c:numRef>
          </c:val>
        </c:ser>
        <c:ser>
          <c:idx val="5"/>
          <c:order val="5"/>
          <c:tx>
            <c:strRef>
              <c:f>'Datos '!$I$586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'!$L$586:$M$586</c:f>
            </c:numRef>
          </c:val>
        </c:ser>
        <c:ser>
          <c:idx val="6"/>
          <c:order val="6"/>
          <c:tx>
            <c:strRef>
              <c:f>'Datos '!$I$587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'!$L$587:$M$587</c:f>
            </c:numRef>
          </c:val>
        </c:ser>
        <c:ser>
          <c:idx val="7"/>
          <c:order val="7"/>
          <c:tx>
            <c:strRef>
              <c:f>'Datos '!$I$588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'!$L$588:$M$588</c:f>
            </c:numRef>
          </c:val>
        </c:ser>
        <c:ser>
          <c:idx val="8"/>
          <c:order val="8"/>
          <c:tx>
            <c:strRef>
              <c:f>'Datos '!$I$589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'!$L$589:$M$589</c:f>
            </c:numRef>
          </c:val>
        </c:ser>
        <c:ser>
          <c:idx val="9"/>
          <c:order val="9"/>
          <c:tx>
            <c:strRef>
              <c:f>'Datos '!$I$590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'!$L$590:$M$590</c:f>
            </c:numRef>
          </c:val>
        </c:ser>
        <c:ser>
          <c:idx val="10"/>
          <c:order val="10"/>
          <c:tx>
            <c:strRef>
              <c:f>'Datos '!$I$591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'!$L$591:$M$591</c:f>
            </c:numRef>
          </c:val>
        </c:ser>
        <c:ser>
          <c:idx val="11"/>
          <c:order val="11"/>
          <c:tx>
            <c:strRef>
              <c:f>'Datos '!$I$592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'!$L$592:$M$592</c:f>
            </c:numRef>
          </c:val>
        </c:ser>
        <c:ser>
          <c:idx val="12"/>
          <c:order val="12"/>
          <c:tx>
            <c:strRef>
              <c:f>'Datos '!$I$593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'!$L$593:$M$593</c:f>
            </c:numRef>
          </c:val>
        </c:ser>
        <c:ser>
          <c:idx val="13"/>
          <c:order val="13"/>
          <c:tx>
            <c:strRef>
              <c:f>'Datos '!$I$594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'!$L$594:$M$594</c:f>
            </c:numRef>
          </c:val>
        </c:ser>
        <c:ser>
          <c:idx val="14"/>
          <c:order val="14"/>
          <c:tx>
            <c:strRef>
              <c:f>'Datos '!$I$595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'!$L$595:$M$595</c:f>
            </c:numRef>
          </c:val>
        </c:ser>
        <c:ser>
          <c:idx val="15"/>
          <c:order val="15"/>
          <c:tx>
            <c:strRef>
              <c:f>'Datos '!$I$596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'!$L$596:$M$596</c:f>
            </c:numRef>
          </c:val>
        </c:ser>
        <c:ser>
          <c:idx val="16"/>
          <c:order val="16"/>
          <c:tx>
            <c:strRef>
              <c:f>'Datos '!$I$597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'!$L$597:$M$597</c:f>
            </c:numRef>
          </c:val>
        </c:ser>
        <c:ser>
          <c:idx val="17"/>
          <c:order val="17"/>
          <c:tx>
            <c:strRef>
              <c:f>'Datos '!$I$598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'!$L$598:$M$598</c:f>
            </c:numRef>
          </c:val>
        </c:ser>
        <c:ser>
          <c:idx val="18"/>
          <c:order val="18"/>
          <c:tx>
            <c:strRef>
              <c:f>'Datos '!$I$599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'!$L$599:$M$599</c:f>
            </c:numRef>
          </c:val>
        </c:ser>
        <c:ser>
          <c:idx val="19"/>
          <c:order val="19"/>
          <c:tx>
            <c:strRef>
              <c:f>'Datos '!$I$600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'!$L$600:$M$600</c:f>
            </c:numRef>
          </c:val>
        </c:ser>
        <c:ser>
          <c:idx val="20"/>
          <c:order val="20"/>
          <c:tx>
            <c:strRef>
              <c:f>'Datos '!$I$601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'!$L$601:$M$601</c:f>
            </c:numRef>
          </c:val>
        </c:ser>
        <c:ser>
          <c:idx val="21"/>
          <c:order val="21"/>
          <c:tx>
            <c:strRef>
              <c:f>'Datos '!$I$602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'!$L$602:$M$602</c:f>
            </c:numRef>
          </c:val>
        </c:ser>
        <c:ser>
          <c:idx val="22"/>
          <c:order val="22"/>
          <c:tx>
            <c:strRef>
              <c:f>'Datos '!$I$603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'!$L$603:$M$603</c:f>
            </c:numRef>
          </c:val>
        </c:ser>
        <c:ser>
          <c:idx val="23"/>
          <c:order val="23"/>
          <c:tx>
            <c:strRef>
              <c:f>'Datos '!$I$604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'!$L$604:$M$604</c:f>
            </c:numRef>
          </c:val>
        </c:ser>
        <c:ser>
          <c:idx val="24"/>
          <c:order val="24"/>
          <c:tx>
            <c:strRef>
              <c:f>'Datos '!$I$605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'!$L$605:$M$605</c:f>
            </c:numRef>
          </c:val>
        </c:ser>
        <c:ser>
          <c:idx val="25"/>
          <c:order val="25"/>
          <c:tx>
            <c:strRef>
              <c:f>'Datos '!$I$606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'!$L$606:$M$606</c:f>
            </c:numRef>
          </c:val>
        </c:ser>
        <c:ser>
          <c:idx val="26"/>
          <c:order val="26"/>
          <c:tx>
            <c:strRef>
              <c:f>'Datos '!$I$607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'!$L$607:$M$607</c:f>
            </c:numRef>
          </c:val>
        </c:ser>
        <c:ser>
          <c:idx val="27"/>
          <c:order val="27"/>
          <c:tx>
            <c:strRef>
              <c:f>'Datos '!$I$608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'!$L$608:$M$608</c:f>
            </c:numRef>
          </c:val>
        </c:ser>
        <c:ser>
          <c:idx val="28"/>
          <c:order val="28"/>
          <c:tx>
            <c:strRef>
              <c:f>'Datos '!$I$609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'!$L$609:$M$609</c:f>
            </c:numRef>
          </c:val>
        </c:ser>
        <c:ser>
          <c:idx val="29"/>
          <c:order val="29"/>
          <c:tx>
            <c:strRef>
              <c:f>'Datos '!$I$610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'!$L$610:$M$610</c:f>
            </c:numRef>
          </c:val>
        </c:ser>
        <c:ser>
          <c:idx val="30"/>
          <c:order val="30"/>
          <c:tx>
            <c:strRef>
              <c:f>'Datos '!$I$611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'!$L$611:$M$611</c:f>
            </c:numRef>
          </c:val>
        </c:ser>
        <c:ser>
          <c:idx val="31"/>
          <c:order val="31"/>
          <c:tx>
            <c:strRef>
              <c:f>'Datos '!$I$612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'!$L$580:$M$580</c:f>
            </c:multiLvlStrRef>
          </c:cat>
          <c:val>
            <c:numRef>
              <c:f>'Datos '!$L$612:$M$612</c:f>
            </c:numRef>
          </c:val>
        </c:ser>
        <c:ser>
          <c:idx val="32"/>
          <c:order val="32"/>
          <c:tx>
            <c:strRef>
              <c:f>'Datos '!$I$613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multiLvlStrRef>
              <c:f>'Datos '!$L$580:$M$580</c:f>
            </c:multiLvlStrRef>
          </c:cat>
          <c:val>
            <c:numRef>
              <c:f>'Datos '!$L$613:$M$613</c:f>
            </c:numRef>
          </c:val>
        </c:ser>
        <c:ser>
          <c:idx val="33"/>
          <c:order val="33"/>
          <c:tx>
            <c:strRef>
              <c:f>'Datos '!$I$614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multiLvlStrRef>
              <c:f>'Datos '!$L$580:$M$580</c:f>
            </c:multiLvlStrRef>
          </c:cat>
          <c:val>
            <c:numRef>
              <c:f>'Datos '!$L$614:$M$614</c:f>
            </c:numRef>
          </c:val>
        </c:ser>
        <c:dLbls>
          <c:showVal val="1"/>
        </c:dLbls>
        <c:axId val="124131584"/>
        <c:axId val="124162048"/>
      </c:barChart>
      <c:catAx>
        <c:axId val="1241315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4162048"/>
        <c:crosses val="autoZero"/>
        <c:lblAlgn val="ctr"/>
        <c:lblOffset val="100"/>
        <c:tickLblSkip val="1"/>
        <c:tickMarkSkip val="1"/>
      </c:catAx>
      <c:valAx>
        <c:axId val="1241620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4131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9026"/>
          <c:y val="1.468189233278956E-2"/>
          <c:w val="0.76524969339989302"/>
          <c:h val="0.1770363043934376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Clasificación del Personal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'Datos '!$I$7</c:f>
              <c:strCache>
                <c:ptCount val="1"/>
                <c:pt idx="0">
                  <c:v>Científico y Tecnológico</c:v>
                </c:pt>
              </c:strCache>
            </c:strRef>
          </c:tx>
          <c:cat>
            <c:strRef>
              <c:f>'Datos '!$J$3:$R$3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'!$J$7:$R$7</c:f>
              <c:numCache>
                <c:formatCode>#,##0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</c:ser>
        <c:ser>
          <c:idx val="1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cat>
            <c:strRef>
              <c:f>'Datos '!$J$3:$R$3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'!$J$5:$R$5</c:f>
              <c:numCache>
                <c:formatCode>#,##0</c:formatCode>
                <c:ptCount val="3"/>
                <c:pt idx="0">
                  <c:v>20</c:v>
                </c:pt>
                <c:pt idx="1">
                  <c:v>16</c:v>
                </c:pt>
                <c:pt idx="2">
                  <c:v>15</c:v>
                </c:pt>
              </c:numCache>
            </c:numRef>
          </c:val>
        </c:ser>
        <c:ser>
          <c:idx val="2"/>
          <c:order val="2"/>
          <c:tx>
            <c:strRef>
              <c:f>'Datos '!$I$4</c:f>
              <c:strCache>
                <c:ptCount val="1"/>
                <c:pt idx="0">
                  <c:v>Apoyo a las Actividades Sustantivas</c:v>
                </c:pt>
              </c:strCache>
            </c:strRef>
          </c:tx>
          <c:cat>
            <c:strRef>
              <c:f>'Datos '!$J$3:$R$3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'!$J$4:$R$4</c:f>
              <c:numCache>
                <c:formatCode>#,##0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</c:ser>
        <c:ser>
          <c:idx val="3"/>
          <c:order val="3"/>
          <c:tx>
            <c:strRef>
              <c:f>'Datos '!$I$6</c:f>
              <c:strCache>
                <c:ptCount val="1"/>
                <c:pt idx="0">
                  <c:v>Administrativo y de Apoyo</c:v>
                </c:pt>
              </c:strCache>
            </c:strRef>
          </c:tx>
          <c:cat>
            <c:strRef>
              <c:f>'Datos '!$J$3:$R$3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'!$J$6:$R$6</c:f>
              <c:numCache>
                <c:formatCode>#,##0</c:formatCode>
                <c:ptCount val="3"/>
                <c:pt idx="0">
                  <c:v>20</c:v>
                </c:pt>
                <c:pt idx="1">
                  <c:v>26</c:v>
                </c:pt>
                <c:pt idx="2">
                  <c:v>25</c:v>
                </c:pt>
              </c:numCache>
            </c:numRef>
          </c:val>
        </c:ser>
        <c:ser>
          <c:idx val="4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'Datos '!$J$3:$R$3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'!$J$8:$R$8</c:f>
              <c:numCache>
                <c:formatCode>#,##0</c:formatCode>
                <c:ptCount val="3"/>
                <c:pt idx="0">
                  <c:v>151</c:v>
                </c:pt>
                <c:pt idx="1">
                  <c:v>181</c:v>
                </c:pt>
                <c:pt idx="2">
                  <c:v>195</c:v>
                </c:pt>
              </c:numCache>
            </c:numRef>
          </c:val>
        </c:ser>
        <c:gapWidth val="75"/>
        <c:overlap val="-25"/>
        <c:axId val="124217216"/>
        <c:axId val="124218752"/>
      </c:barChart>
      <c:catAx>
        <c:axId val="124217216"/>
        <c:scaling>
          <c:orientation val="minMax"/>
        </c:scaling>
        <c:axPos val="b"/>
        <c:numFmt formatCode="General" sourceLinked="1"/>
        <c:majorTickMark val="none"/>
        <c:tickLblPos val="nextTo"/>
        <c:crossAx val="124218752"/>
        <c:crosses val="autoZero"/>
        <c:auto val="1"/>
        <c:lblAlgn val="ctr"/>
        <c:lblOffset val="100"/>
      </c:catAx>
      <c:valAx>
        <c:axId val="12421875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421721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6"/>
  <c:chart>
    <c:title>
      <c:tx>
        <c:rich>
          <a:bodyPr/>
          <a:lstStyle/>
          <a:p>
            <a:pPr>
              <a:defRPr/>
            </a:pPr>
            <a:r>
              <a:rPr lang="es-MX"/>
              <a:t>Personal Científico y Tecnológico por categoría y nivel</a:t>
            </a:r>
          </a:p>
        </c:rich>
      </c:tx>
    </c:title>
    <c:plotArea>
      <c:layout/>
      <c:barChart>
        <c:barDir val="col"/>
        <c:grouping val="clustered"/>
        <c:ser>
          <c:idx val="1"/>
          <c:order val="0"/>
          <c:tx>
            <c:strRef>
              <c:f>'Datos '!$I$21</c:f>
              <c:strCache>
                <c:ptCount val="1"/>
                <c:pt idx="0">
                  <c:v>Investigador Titular 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'!$J$21:$R$21</c:f>
              <c:numCache>
                <c:formatCode>#,##0</c:formatCode>
                <c:ptCount val="3"/>
                <c:pt idx="0" formatCode="General">
                  <c:v>26</c:v>
                </c:pt>
                <c:pt idx="1">
                  <c:v>39</c:v>
                </c:pt>
                <c:pt idx="2">
                  <c:v>45</c:v>
                </c:pt>
              </c:numCache>
            </c:numRef>
          </c:val>
        </c:ser>
        <c:ser>
          <c:idx val="2"/>
          <c:order val="1"/>
          <c:tx>
            <c:strRef>
              <c:f>'Datos '!$I$22</c:f>
              <c:strCache>
                <c:ptCount val="1"/>
                <c:pt idx="0">
                  <c:v>Investigador Asociado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'!$J$22:$R$22</c:f>
              <c:numCache>
                <c:formatCode>#,##0</c:formatCode>
                <c:ptCount val="3"/>
                <c:pt idx="0" formatCode="General">
                  <c:v>9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</c:ser>
        <c:ser>
          <c:idx val="3"/>
          <c:order val="2"/>
          <c:tx>
            <c:strRef>
              <c:f>'Datos '!$I$23</c:f>
              <c:strCache>
                <c:ptCount val="1"/>
                <c:pt idx="0">
                  <c:v>Asistente de Investigación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'!$J$23:$R$23</c:f>
              <c:numCache>
                <c:formatCode>#,##0</c:formatCode>
                <c:ptCount val="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3"/>
          <c:tx>
            <c:strRef>
              <c:f>'Datos '!$I$24</c:f>
              <c:strCache>
                <c:ptCount val="1"/>
                <c:pt idx="0">
                  <c:v>Técnico Académico Titular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'!$J$24:$R$24</c:f>
              <c:numCache>
                <c:formatCode>#,##0</c:formatCode>
                <c:ptCount val="3"/>
                <c:pt idx="0" formatCode="General">
                  <c:v>50</c:v>
                </c:pt>
                <c:pt idx="1">
                  <c:v>69</c:v>
                </c:pt>
                <c:pt idx="2">
                  <c:v>76</c:v>
                </c:pt>
              </c:numCache>
            </c:numRef>
          </c:val>
        </c:ser>
        <c:ser>
          <c:idx val="5"/>
          <c:order val="4"/>
          <c:tx>
            <c:strRef>
              <c:f>'Datos '!$I$25</c:f>
              <c:strCache>
                <c:ptCount val="1"/>
                <c:pt idx="0">
                  <c:v>Técnico Académico Asociado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'!$J$25:$R$25</c:f>
              <c:numCache>
                <c:formatCode>#,##0</c:formatCode>
                <c:ptCount val="3"/>
                <c:pt idx="0" formatCode="General">
                  <c:v>12</c:v>
                </c:pt>
                <c:pt idx="1">
                  <c:v>13</c:v>
                </c:pt>
                <c:pt idx="2">
                  <c:v>15</c:v>
                </c:pt>
              </c:numCache>
            </c:numRef>
          </c:val>
        </c:ser>
        <c:ser>
          <c:idx val="6"/>
          <c:order val="5"/>
          <c:tx>
            <c:strRef>
              <c:f>'Datos '!$I$26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'Datos '!$J$20:$R$20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'!$J$26:$R$26</c:f>
              <c:numCache>
                <c:formatCode>#,##0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</c:ser>
        <c:axId val="124255616"/>
        <c:axId val="124281984"/>
      </c:barChart>
      <c:catAx>
        <c:axId val="124255616"/>
        <c:scaling>
          <c:orientation val="minMax"/>
        </c:scaling>
        <c:axPos val="b"/>
        <c:numFmt formatCode="General" sourceLinked="1"/>
        <c:majorTickMark val="none"/>
        <c:tickLblPos val="nextTo"/>
        <c:crossAx val="124281984"/>
        <c:crosses val="autoZero"/>
        <c:auto val="1"/>
        <c:lblAlgn val="ctr"/>
        <c:lblOffset val="100"/>
      </c:catAx>
      <c:valAx>
        <c:axId val="124281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Personal</a:t>
                </a:r>
              </a:p>
            </c:rich>
          </c:tx>
        </c:title>
        <c:numFmt formatCode="General" sourceLinked="1"/>
        <c:majorTickMark val="none"/>
        <c:tickLblPos val="nextTo"/>
        <c:crossAx val="1242556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Factor de Impacto</a:t>
            </a:r>
          </a:p>
        </c:rich>
      </c:tx>
    </c:title>
    <c:plotArea>
      <c:layout/>
      <c:barChart>
        <c:barDir val="col"/>
        <c:grouping val="clustered"/>
        <c:ser>
          <c:idx val="1"/>
          <c:order val="0"/>
          <c:tx>
            <c:strRef>
              <c:f>'Datos '!$I$104</c:f>
              <c:strCache>
                <c:ptCount val="1"/>
                <c:pt idx="0">
                  <c:v>Menor que 1</c:v>
                </c:pt>
              </c:strCache>
            </c:strRef>
          </c:tx>
          <c:cat>
            <c:numRef>
              <c:f>'Datos '!$P$103:$R$103</c:f>
              <c:numCache>
                <c:formatCode>General</c:formatCode>
                <c:ptCount val="3"/>
                <c:pt idx="0">
                  <c:v>2006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'!$P$104:$R$104</c:f>
              <c:numCache>
                <c:formatCode>General</c:formatCode>
                <c:ptCount val="3"/>
                <c:pt idx="0">
                  <c:v>37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</c:ser>
        <c:ser>
          <c:idx val="2"/>
          <c:order val="1"/>
          <c:tx>
            <c:strRef>
              <c:f>'Datos '!$I$105</c:f>
              <c:strCache>
                <c:ptCount val="1"/>
                <c:pt idx="0">
                  <c:v>Entre 1 y 2</c:v>
                </c:pt>
              </c:strCache>
            </c:strRef>
          </c:tx>
          <c:cat>
            <c:numRef>
              <c:f>'Datos '!$P$103:$R$103</c:f>
              <c:numCache>
                <c:formatCode>General</c:formatCode>
                <c:ptCount val="3"/>
                <c:pt idx="0">
                  <c:v>2006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'!$P$105:$R$105</c:f>
              <c:numCache>
                <c:formatCode>General</c:formatCode>
                <c:ptCount val="3"/>
                <c:pt idx="0">
                  <c:v>20</c:v>
                </c:pt>
                <c:pt idx="1">
                  <c:v>60</c:v>
                </c:pt>
                <c:pt idx="2">
                  <c:v>44</c:v>
                </c:pt>
              </c:numCache>
            </c:numRef>
          </c:val>
        </c:ser>
        <c:ser>
          <c:idx val="3"/>
          <c:order val="2"/>
          <c:tx>
            <c:strRef>
              <c:f>'Datos '!$I$106</c:f>
              <c:strCache>
                <c:ptCount val="1"/>
                <c:pt idx="0">
                  <c:v>Entre 2 y 3</c:v>
                </c:pt>
              </c:strCache>
            </c:strRef>
          </c:tx>
          <c:cat>
            <c:numRef>
              <c:f>'Datos '!$P$103:$R$103</c:f>
              <c:numCache>
                <c:formatCode>General</c:formatCode>
                <c:ptCount val="3"/>
                <c:pt idx="0">
                  <c:v>2006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'!$P$106:$R$106</c:f>
              <c:numCache>
                <c:formatCode>General</c:formatCode>
                <c:ptCount val="3"/>
                <c:pt idx="0">
                  <c:v>14</c:v>
                </c:pt>
                <c:pt idx="1">
                  <c:v>19</c:v>
                </c:pt>
                <c:pt idx="2">
                  <c:v>41</c:v>
                </c:pt>
              </c:numCache>
            </c:numRef>
          </c:val>
        </c:ser>
        <c:ser>
          <c:idx val="4"/>
          <c:order val="3"/>
          <c:tx>
            <c:strRef>
              <c:f>'Datos '!$I$107</c:f>
              <c:strCache>
                <c:ptCount val="1"/>
                <c:pt idx="0">
                  <c:v>Entre 3 y 5</c:v>
                </c:pt>
              </c:strCache>
            </c:strRef>
          </c:tx>
          <c:cat>
            <c:numRef>
              <c:f>'Datos '!$P$103:$R$103</c:f>
              <c:numCache>
                <c:formatCode>General</c:formatCode>
                <c:ptCount val="3"/>
                <c:pt idx="0">
                  <c:v>2006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'!$P$107:$R$107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26</c:v>
                </c:pt>
              </c:numCache>
            </c:numRef>
          </c:val>
        </c:ser>
        <c:ser>
          <c:idx val="5"/>
          <c:order val="4"/>
          <c:tx>
            <c:strRef>
              <c:f>'Datos '!$I$108</c:f>
              <c:strCache>
                <c:ptCount val="1"/>
                <c:pt idx="0">
                  <c:v>Entre 5 y 8</c:v>
                </c:pt>
              </c:strCache>
            </c:strRef>
          </c:tx>
          <c:cat>
            <c:numRef>
              <c:f>'Datos '!$P$103:$R$103</c:f>
              <c:numCache>
                <c:formatCode>General</c:formatCode>
                <c:ptCount val="3"/>
                <c:pt idx="0">
                  <c:v>2006</c:v>
                </c:pt>
                <c:pt idx="1">
                  <c:v>2009</c:v>
                </c:pt>
                <c:pt idx="2">
                  <c:v>2013</c:v>
                </c:pt>
              </c:numCache>
            </c:numRef>
          </c:cat>
          <c:val>
            <c:numRef>
              <c:f>'Datos '!$P$108:$R$108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</c:ser>
        <c:dLbls>
          <c:showVal val="1"/>
        </c:dLbls>
        <c:overlap val="-25"/>
        <c:axId val="124329984"/>
        <c:axId val="124331520"/>
      </c:barChart>
      <c:catAx>
        <c:axId val="124329984"/>
        <c:scaling>
          <c:orientation val="minMax"/>
        </c:scaling>
        <c:axPos val="b"/>
        <c:numFmt formatCode="General" sourceLinked="1"/>
        <c:majorTickMark val="none"/>
        <c:tickLblPos val="nextTo"/>
        <c:crossAx val="124331520"/>
        <c:crosses val="autoZero"/>
        <c:auto val="1"/>
        <c:lblAlgn val="ctr"/>
        <c:lblOffset val="100"/>
      </c:catAx>
      <c:valAx>
        <c:axId val="124331520"/>
        <c:scaling>
          <c:orientation val="minMax"/>
        </c:scaling>
        <c:delete val="1"/>
        <c:axPos val="l"/>
        <c:numFmt formatCode="General" sourceLinked="1"/>
        <c:tickLblPos val="none"/>
        <c:crossAx val="124329984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col"/>
        <c:grouping val="clustered"/>
        <c:ser>
          <c:idx val="1"/>
          <c:order val="0"/>
          <c:tx>
            <c:strRef>
              <c:f>'Datos '!$I$7</c:f>
              <c:strCache>
                <c:ptCount val="1"/>
                <c:pt idx="0">
                  <c:v>Científico y Tecnológico</c:v>
                </c:pt>
              </c:strCache>
            </c:strRef>
          </c:tx>
          <c:trendline>
            <c:trendlineType val="linear"/>
          </c:trendline>
          <c:trendline>
            <c:trendlineType val="linear"/>
          </c:trendline>
          <c:cat>
            <c:strRef>
              <c:f>'Datos '!$P$3:$R$3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'!$P$7:$R$7</c:f>
              <c:numCache>
                <c:formatCode>#,##0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</c:ser>
        <c:ser>
          <c:idx val="2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trendline>
            <c:trendlineType val="linear"/>
          </c:trendline>
          <c:cat>
            <c:strRef>
              <c:f>'Datos '!$P$3:$R$3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'!$P$5:$R$5</c:f>
              <c:numCache>
                <c:formatCode>#,##0</c:formatCode>
                <c:ptCount val="3"/>
                <c:pt idx="0">
                  <c:v>20</c:v>
                </c:pt>
                <c:pt idx="1">
                  <c:v>16</c:v>
                </c:pt>
                <c:pt idx="2">
                  <c:v>15</c:v>
                </c:pt>
              </c:numCache>
            </c:numRef>
          </c:val>
        </c:ser>
        <c:ser>
          <c:idx val="3"/>
          <c:order val="2"/>
          <c:tx>
            <c:strRef>
              <c:f>'Datos '!$I$4</c:f>
              <c:strCache>
                <c:ptCount val="1"/>
                <c:pt idx="0">
                  <c:v>Apoyo a las Actividades Sustantivas</c:v>
                </c:pt>
              </c:strCache>
            </c:strRef>
          </c:tx>
          <c:trendline>
            <c:trendlineType val="exp"/>
          </c:trendline>
          <c:cat>
            <c:strRef>
              <c:f>'Datos '!$P$3:$R$3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'!$P$4:$R$4</c:f>
              <c:numCache>
                <c:formatCode>#,##0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</c:ser>
        <c:ser>
          <c:idx val="4"/>
          <c:order val="3"/>
          <c:tx>
            <c:strRef>
              <c:f>'Datos '!$I$6</c:f>
              <c:strCache>
                <c:ptCount val="1"/>
                <c:pt idx="0">
                  <c:v>Administrativo y de Apoyo</c:v>
                </c:pt>
              </c:strCache>
            </c:strRef>
          </c:tx>
          <c:trendline>
            <c:trendlineType val="linear"/>
          </c:trendline>
          <c:cat>
            <c:strRef>
              <c:f>'Datos '!$P$3:$R$3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'!$P$6:$R$6</c:f>
              <c:numCache>
                <c:formatCode>#,##0</c:formatCode>
                <c:ptCount val="3"/>
                <c:pt idx="0">
                  <c:v>20</c:v>
                </c:pt>
                <c:pt idx="1">
                  <c:v>26</c:v>
                </c:pt>
                <c:pt idx="2">
                  <c:v>25</c:v>
                </c:pt>
              </c:numCache>
            </c:numRef>
          </c:val>
        </c:ser>
        <c:ser>
          <c:idx val="5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trendline>
            <c:trendlineType val="linear"/>
          </c:trendline>
          <c:cat>
            <c:strRef>
              <c:f>'Datos '!$P$3:$R$3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'!$P$8:$R$8</c:f>
              <c:numCache>
                <c:formatCode>#,##0</c:formatCode>
                <c:ptCount val="3"/>
                <c:pt idx="0">
                  <c:v>151</c:v>
                </c:pt>
                <c:pt idx="1">
                  <c:v>181</c:v>
                </c:pt>
                <c:pt idx="2">
                  <c:v>195</c:v>
                </c:pt>
              </c:numCache>
            </c:numRef>
          </c:val>
        </c:ser>
        <c:axId val="124404864"/>
        <c:axId val="124406400"/>
      </c:barChart>
      <c:catAx>
        <c:axId val="124404864"/>
        <c:scaling>
          <c:orientation val="minMax"/>
        </c:scaling>
        <c:axPos val="b"/>
        <c:numFmt formatCode="General" sourceLinked="1"/>
        <c:tickLblPos val="nextTo"/>
        <c:crossAx val="124406400"/>
        <c:crosses val="autoZero"/>
        <c:auto val="1"/>
        <c:lblAlgn val="ctr"/>
        <c:lblOffset val="100"/>
      </c:catAx>
      <c:valAx>
        <c:axId val="124406400"/>
        <c:scaling>
          <c:orientation val="minMax"/>
        </c:scaling>
        <c:axPos val="l"/>
        <c:majorGridlines/>
        <c:numFmt formatCode="#,##0" sourceLinked="1"/>
        <c:tickLblPos val="nextTo"/>
        <c:crossAx val="1244048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6.1586954847569833E-2"/>
          <c:y val="9.9184203525773965E-2"/>
          <c:w val="0.7288783624064471"/>
          <c:h val="0.80924337324277862"/>
        </c:manualLayout>
      </c:layout>
      <c:bar3DChart>
        <c:barDir val="col"/>
        <c:grouping val="clustered"/>
        <c:ser>
          <c:idx val="1"/>
          <c:order val="0"/>
          <c:tx>
            <c:strRef>
              <c:f>'Datos '!$I$684</c:f>
              <c:strCache>
                <c:ptCount val="1"/>
                <c:pt idx="0">
                  <c:v>Alumnos Participantes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7.8709676189059594E-2"/>
                </c:manualLayout>
              </c:layout>
              <c:showVal val="1"/>
            </c:dLbl>
            <c:dLbl>
              <c:idx val="1"/>
              <c:layout>
                <c:manualLayout>
                  <c:x val="-1.4641463980384589E-3"/>
                  <c:y val="0.10090984126802512"/>
                </c:manualLayout>
              </c:layout>
              <c:showVal val="1"/>
            </c:dLbl>
            <c:dLbl>
              <c:idx val="2"/>
              <c:layout>
                <c:manualLayout>
                  <c:x val="2.9282927960768692E-3"/>
                  <c:y val="9.6873447617304181E-2"/>
                </c:manualLayout>
              </c:layout>
              <c:showVal val="1"/>
            </c:dLbl>
            <c:dLbl>
              <c:idx val="3"/>
              <c:layout>
                <c:manualLayout>
                  <c:x val="4.3924391941153823E-3"/>
                  <c:y val="8.6782463490501532E-2"/>
                </c:manualLayout>
              </c:layout>
              <c:showVal val="1"/>
            </c:dLbl>
            <c:dLbl>
              <c:idx val="4"/>
              <c:layout>
                <c:manualLayout>
                  <c:x val="8.0322840822153966E-3"/>
                  <c:y val="0.10090984126802509"/>
                </c:manualLayout>
              </c:layout>
              <c:showVal val="1"/>
            </c:dLbl>
            <c:txPr>
              <a:bodyPr/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'!$K$683:$O$683</c:f>
            </c:multiLvlStrRef>
          </c:cat>
          <c:val>
            <c:numRef>
              <c:f>'Datos '!$K$684:$O$684</c:f>
            </c:numRef>
          </c:val>
        </c:ser>
        <c:gapWidth val="58"/>
        <c:shape val="box"/>
        <c:axId val="111552768"/>
        <c:axId val="111562752"/>
        <c:axId val="0"/>
      </c:bar3DChart>
      <c:catAx>
        <c:axId val="1115527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1562752"/>
        <c:crosses val="autoZero"/>
        <c:auto val="1"/>
        <c:lblAlgn val="ctr"/>
        <c:lblOffset val="100"/>
      </c:catAx>
      <c:valAx>
        <c:axId val="111562752"/>
        <c:scaling>
          <c:orientation val="minMax"/>
        </c:scaling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1552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60869314413884"/>
          <c:y val="0.5164064264694187"/>
          <c:w val="0.20660644342534362"/>
          <c:h val="0.11931885787003915"/>
        </c:manualLayout>
      </c:layout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scene3d>
      <a:camera prst="orthographicFront"/>
      <a:lightRig rig="threePt" dir="t"/>
    </a:scene3d>
    <a:sp3d prstMaterial="matte">
      <a:bevelT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26"/>
  <c:chart>
    <c:autoTitleDeleted val="1"/>
    <c:plotArea>
      <c:layout/>
      <c:barChart>
        <c:barDir val="col"/>
        <c:grouping val="clustered"/>
        <c:ser>
          <c:idx val="1"/>
          <c:order val="0"/>
          <c:tx>
            <c:strRef>
              <c:f>'Datos '!$P$376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FFFF"/>
            </a:solidFill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</c:spPr>
          <c:dLbls>
            <c:dLbl>
              <c:idx val="0"/>
              <c:layout>
                <c:manualLayout>
                  <c:x val="-4.3943663531326657E-3"/>
                  <c:y val="9.2893208428381113E-2"/>
                </c:manualLayout>
              </c:layout>
              <c:tx>
                <c:rich>
                  <a:bodyPr/>
                  <a:lstStyle/>
                  <a:p>
                    <a:pPr>
                      <a:defRPr sz="2800"/>
                    </a:pPr>
                    <a:r>
                      <a:rPr lang="en-US" sz="2800"/>
                      <a:t>$ 7,401</a:t>
                    </a:r>
                  </a:p>
                </c:rich>
              </c:tx>
              <c:spPr/>
              <c:showVal val="1"/>
            </c:dLbl>
            <c:showVal val="1"/>
          </c:dLbls>
          <c:cat>
            <c:numRef>
              <c:f>'Datos '!$I$375</c:f>
              <c:numCache>
                <c:formatCode>General</c:formatCode>
                <c:ptCount val="1"/>
              </c:numCache>
            </c:numRef>
          </c:cat>
          <c:val>
            <c:numRef>
              <c:f>'Datos '!$P$377</c:f>
              <c:numCache>
                <c:formatCode>_-"$"* #,##0_-;\-"$"* #,##0_-;_-"$"* "-"??_-;_-@_-</c:formatCode>
                <c:ptCount val="1"/>
                <c:pt idx="0">
                  <c:v>7401.1399999999994</c:v>
                </c:pt>
              </c:numCache>
            </c:numRef>
          </c:val>
        </c:ser>
        <c:ser>
          <c:idx val="2"/>
          <c:order val="1"/>
          <c:tx>
            <c:strRef>
              <c:f>'Datos '!$Q$376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dLbls>
            <c:dLbl>
              <c:idx val="0"/>
              <c:layout>
                <c:manualLayout>
                  <c:x val="1.4647887843776087E-3"/>
                  <c:y val="8.6834955704791078E-2"/>
                </c:manualLayout>
              </c:layout>
              <c:tx>
                <c:rich>
                  <a:bodyPr/>
                  <a:lstStyle/>
                  <a:p>
                    <a:pPr>
                      <a:defRPr sz="2800"/>
                    </a:pPr>
                    <a:r>
                      <a:rPr lang="en-US" sz="2800"/>
                      <a:t>$ 28,143</a:t>
                    </a:r>
                  </a:p>
                </c:rich>
              </c:tx>
              <c:spPr/>
              <c:showVal val="1"/>
            </c:dLbl>
            <c:showVal val="1"/>
          </c:dLbls>
          <c:cat>
            <c:numRef>
              <c:f>'Datos '!$I$375</c:f>
              <c:numCache>
                <c:formatCode>General</c:formatCode>
                <c:ptCount val="1"/>
              </c:numCache>
            </c:numRef>
          </c:cat>
          <c:val>
            <c:numRef>
              <c:f>'Datos '!$Q$377</c:f>
              <c:numCache>
                <c:formatCode>_-"$"* #,##0_-;\-"$"* #,##0_-;_-"$"* "-"??_-;_-@_-</c:formatCode>
                <c:ptCount val="1"/>
                <c:pt idx="0">
                  <c:v>28143</c:v>
                </c:pt>
              </c:numCache>
            </c:numRef>
          </c:val>
        </c:ser>
        <c:ser>
          <c:idx val="3"/>
          <c:order val="2"/>
          <c:tx>
            <c:strRef>
              <c:f>'Datos '!$R$376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glow rad="139700">
                <a:schemeClr val="accent4">
                  <a:satMod val="175000"/>
                  <a:alpha val="40000"/>
                </a:schemeClr>
              </a:glow>
            </a:effectLst>
          </c:spPr>
          <c:dLbls>
            <c:dLbl>
              <c:idx val="0"/>
              <c:layout>
                <c:manualLayout>
                  <c:x val="1.4647887843775549E-3"/>
                  <c:y val="4.6446604214190564E-2"/>
                </c:manualLayout>
              </c:layout>
              <c:showVal val="1"/>
            </c:dLbl>
            <c:showVal val="1"/>
          </c:dLbls>
          <c:cat>
            <c:numRef>
              <c:f>'Datos '!$I$375</c:f>
              <c:numCache>
                <c:formatCode>General</c:formatCode>
                <c:ptCount val="1"/>
              </c:numCache>
            </c:numRef>
          </c:cat>
          <c:val>
            <c:numRef>
              <c:f>'Datos '!$R$377</c:f>
              <c:numCache>
                <c:formatCode>"$"#,##0</c:formatCode>
                <c:ptCount val="1"/>
                <c:pt idx="0">
                  <c:v>73954.100000000006</c:v>
                </c:pt>
              </c:numCache>
            </c:numRef>
          </c:val>
        </c:ser>
        <c:gapWidth val="75"/>
        <c:overlap val="-25"/>
        <c:axId val="110214144"/>
        <c:axId val="111612672"/>
      </c:barChart>
      <c:catAx>
        <c:axId val="1102141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11612672"/>
        <c:crosses val="autoZero"/>
        <c:auto val="1"/>
        <c:lblAlgn val="ctr"/>
        <c:lblOffset val="100"/>
      </c:catAx>
      <c:valAx>
        <c:axId val="111612672"/>
        <c:scaling>
          <c:orientation val="minMax"/>
          <c:max val="75000"/>
          <c:min val="0"/>
        </c:scaling>
        <c:axPos val="l"/>
        <c:majorGridlines/>
        <c:numFmt formatCode="_-&quot;$&quot;* #,##0_-;\-&quot;$&quot;* #,##0_-;_-&quot;$&quot;* &quot;-&quot;??_-;_-@_-" sourceLinked="1"/>
        <c:majorTickMark val="none"/>
        <c:tickLblPos val="none"/>
        <c:spPr>
          <a:solidFill>
            <a:schemeClr val="accent1"/>
          </a:solidFill>
        </c:spPr>
        <c:crossAx val="110214144"/>
        <c:crosses val="autoZero"/>
        <c:crossBetween val="between"/>
        <c:majorUnit val="15000"/>
        <c:min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07793691304645"/>
          <c:y val="0.91293145969544653"/>
          <c:w val="0.81178778970523358"/>
          <c:h val="7.4952034857373492E-2"/>
        </c:manualLayout>
      </c:layout>
    </c:legend>
    <c:plotVisOnly val="1"/>
    <c:dispBlanksAs val="gap"/>
  </c:chart>
  <c:spPr>
    <a:noFill/>
    <a:ln>
      <a:noFill/>
    </a:ln>
    <a:effectLst/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2800">
          <a:latin typeface="Agency FB" pitchFamily="34" charset="0"/>
        </a:defRPr>
      </a:pPr>
      <a:endParaRPr lang="es-MX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16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9.5449500554938949E-2"/>
          <c:y val="0.1941272430668842"/>
          <c:w val="0.86015538290788063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'!$I$349</c:f>
              <c:strCache>
                <c:ptCount val="1"/>
                <c:pt idx="0">
                  <c:v>Solicitudes de Registro de Patente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'!$T$348:$X$348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'!$T$349:$X$349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Val val="1"/>
        </c:dLbls>
        <c:axId val="111665920"/>
        <c:axId val="111667456"/>
      </c:barChart>
      <c:catAx>
        <c:axId val="1116659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667456"/>
        <c:crosses val="autoZero"/>
        <c:lblAlgn val="ctr"/>
        <c:lblOffset val="100"/>
        <c:tickLblSkip val="1"/>
        <c:tickMarkSkip val="1"/>
      </c:catAx>
      <c:valAx>
        <c:axId val="111667456"/>
        <c:scaling>
          <c:orientation val="minMax"/>
          <c:max val="11"/>
          <c:min val="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Solicitudes </a:t>
                </a:r>
              </a:p>
            </c:rich>
          </c:tx>
          <c:layout>
            <c:manualLayout>
              <c:xMode val="edge"/>
              <c:yMode val="edge"/>
              <c:x val="7.3991860895302004E-3"/>
              <c:y val="0.139206090266450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665920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7.6285340876903071E-2"/>
          <c:y val="3.3291729924395781E-2"/>
          <c:w val="0.80533362027684952"/>
          <c:h val="0.87678040454019623"/>
        </c:manualLayout>
      </c:layout>
      <c:lineChart>
        <c:grouping val="standard"/>
        <c:ser>
          <c:idx val="2"/>
          <c:order val="0"/>
          <c:tx>
            <c:strRef>
              <c:f>'Datos '!$I$47</c:f>
              <c:strCache>
                <c:ptCount val="1"/>
                <c:pt idx="0">
                  <c:v>Artículos  en revistas Indizadas</c:v>
                </c:pt>
              </c:strCache>
            </c:strRef>
          </c:tx>
          <c:spPr>
            <a:ln w="31750"/>
          </c:spPr>
          <c:marker>
            <c:symbol val="circle"/>
            <c:size val="7"/>
            <c:spPr>
              <a:solidFill>
                <a:srgbClr val="C00000"/>
              </a:solidFill>
            </c:spPr>
          </c:marker>
          <c:dLbls>
            <c:dLbl>
              <c:idx val="0"/>
              <c:layout>
                <c:manualLayout>
                  <c:x val="-5.4194034711861787E-2"/>
                  <c:y val="1.8159125413306804E-2"/>
                </c:manualLayout>
              </c:layout>
              <c:showVal val="1"/>
            </c:dLbl>
            <c:dLbl>
              <c:idx val="1"/>
              <c:layout>
                <c:manualLayout>
                  <c:x val="-4.5405928197690293E-2"/>
                  <c:y val="-3.4300570225135024E-2"/>
                </c:manualLayout>
              </c:layout>
              <c:showVal val="1"/>
            </c:dLbl>
            <c:dLbl>
              <c:idx val="2"/>
              <c:layout>
                <c:manualLayout>
                  <c:x val="-4.5405812866694865E-2"/>
                  <c:y val="-3.4300570225135024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'!$P$45:$R$45</c:f>
              <c:strCache>
                <c:ptCount val="3"/>
                <c:pt idx="0">
                  <c:v>2004</c:v>
                </c:pt>
                <c:pt idx="1">
                  <c:v>2009</c:v>
                </c:pt>
                <c:pt idx="2">
                  <c:v>2013</c:v>
                </c:pt>
              </c:strCache>
            </c:strRef>
          </c:cat>
          <c:val>
            <c:numRef>
              <c:f>'Datos '!$P$47:$R$47</c:f>
              <c:numCache>
                <c:formatCode>#,##0</c:formatCode>
                <c:ptCount val="3"/>
                <c:pt idx="0">
                  <c:v>57</c:v>
                </c:pt>
                <c:pt idx="1">
                  <c:v>113</c:v>
                </c:pt>
                <c:pt idx="2">
                  <c:v>130</c:v>
                </c:pt>
              </c:numCache>
            </c:numRef>
          </c:val>
        </c:ser>
        <c:marker val="1"/>
        <c:axId val="111735936"/>
        <c:axId val="111737472"/>
      </c:lineChart>
      <c:lineChart>
        <c:grouping val="standard"/>
        <c:ser>
          <c:idx val="0"/>
          <c:order val="1"/>
          <c:tx>
            <c:strRef>
              <c:f>'Datos '!$I$48</c:f>
              <c:strCache>
                <c:ptCount val="1"/>
                <c:pt idx="0">
                  <c:v>índice  por Investigador</c:v>
                </c:pt>
              </c:strCache>
            </c:strRef>
          </c:tx>
          <c:spPr>
            <a:ln w="31750">
              <a:solidFill>
                <a:srgbClr val="003399"/>
              </a:solidFill>
            </a:ln>
          </c:spPr>
          <c:marker>
            <c:symbol val="diamond"/>
            <c:size val="9"/>
            <c:spPr>
              <a:solidFill>
                <a:srgbClr val="003399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6.2982256557028521E-2"/>
                  <c:y val="-1.8159284285795083E-2"/>
                </c:manualLayout>
              </c:layout>
              <c:showVal val="1"/>
            </c:dLbl>
            <c:dLbl>
              <c:idx val="1"/>
              <c:layout>
                <c:manualLayout>
                  <c:x val="-3.6617706352523552E-2"/>
                  <c:y val="-2.4212167217742372E-2"/>
                </c:manualLayout>
              </c:layout>
              <c:showVal val="1"/>
            </c:dLbl>
            <c:dLbl>
              <c:idx val="2"/>
              <c:layout>
                <c:manualLayout>
                  <c:x val="-3.2223480098944775E-2"/>
                  <c:y val="-3.0265367894666311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3399"/>
                    </a:solidFill>
                  </a:defRPr>
                </a:pPr>
                <a:endParaRPr lang="es-MX"/>
              </a:p>
            </c:txPr>
            <c:showVal val="1"/>
          </c:dLbls>
          <c:val>
            <c:numRef>
              <c:f>'Datos '!$P$48:$R$48</c:f>
              <c:numCache>
                <c:formatCode>#,##0.0</c:formatCode>
                <c:ptCount val="3"/>
                <c:pt idx="0">
                  <c:v>1.6285714285714286</c:v>
                </c:pt>
                <c:pt idx="1">
                  <c:v>2.3541666666666665</c:v>
                </c:pt>
                <c:pt idx="2">
                  <c:v>2.5</c:v>
                </c:pt>
              </c:numCache>
            </c:numRef>
          </c:val>
        </c:ser>
        <c:marker val="1"/>
        <c:axId val="111839104"/>
        <c:axId val="111837568"/>
      </c:lineChart>
      <c:catAx>
        <c:axId val="11173593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rgbClr val="003399"/>
                </a:solidFill>
              </a:defRPr>
            </a:pPr>
            <a:endParaRPr lang="es-MX"/>
          </a:p>
        </c:txPr>
        <c:crossAx val="111737472"/>
        <c:crosses val="autoZero"/>
        <c:auto val="1"/>
        <c:lblAlgn val="ctr"/>
        <c:lblOffset val="100"/>
      </c:catAx>
      <c:valAx>
        <c:axId val="111737472"/>
        <c:scaling>
          <c:orientation val="minMax"/>
          <c:max val="160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rgbClr val="003399"/>
                </a:solidFill>
              </a:defRPr>
            </a:pPr>
            <a:endParaRPr lang="es-MX"/>
          </a:p>
        </c:txPr>
        <c:crossAx val="111735936"/>
        <c:crosses val="autoZero"/>
        <c:crossBetween val="between"/>
        <c:majorUnit val="40"/>
      </c:valAx>
      <c:valAx>
        <c:axId val="111837568"/>
        <c:scaling>
          <c:orientation val="minMax"/>
          <c:max val="4"/>
          <c:min val="0"/>
        </c:scaling>
        <c:axPos val="r"/>
        <c:numFmt formatCode="#,##0.0" sourceLinked="1"/>
        <c:tickLblPos val="nextTo"/>
        <c:txPr>
          <a:bodyPr/>
          <a:lstStyle/>
          <a:p>
            <a:pPr>
              <a:defRPr>
                <a:solidFill>
                  <a:srgbClr val="003399"/>
                </a:solidFill>
              </a:defRPr>
            </a:pPr>
            <a:endParaRPr lang="es-MX"/>
          </a:p>
        </c:txPr>
        <c:crossAx val="111839104"/>
        <c:crosses val="max"/>
        <c:crossBetween val="between"/>
        <c:majorUnit val="1"/>
        <c:minorUnit val="0.1"/>
      </c:valAx>
      <c:catAx>
        <c:axId val="111839104"/>
        <c:scaling>
          <c:orientation val="minMax"/>
        </c:scaling>
        <c:delete val="1"/>
        <c:axPos val="b"/>
        <c:tickLblPos val="none"/>
        <c:crossAx val="111837568"/>
        <c:crosses val="autoZero"/>
        <c:auto val="1"/>
        <c:lblAlgn val="ctr"/>
        <c:lblOffset val="100"/>
      </c:catAx>
      <c:spPr>
        <a:noFill/>
        <a:ln w="25400">
          <a:solidFill>
            <a:srgbClr val="003399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3399"/>
                </a:solidFill>
              </a:defRPr>
            </a:pPr>
            <a:endParaRPr lang="es-MX"/>
          </a:p>
        </c:txPr>
      </c:legendEntry>
      <c:layout>
        <c:manualLayout>
          <c:xMode val="edge"/>
          <c:yMode val="edge"/>
          <c:x val="0.10461201730518518"/>
          <c:y val="0.62839613774625958"/>
          <c:w val="0.76795876593989754"/>
          <c:h val="0.29201684810964057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2000" b="1">
          <a:latin typeface="Arial" pitchFamily="34" charset="0"/>
          <a:cs typeface="Arial" pitchFamily="34" charset="0"/>
        </a:defRPr>
      </a:pPr>
      <a:endParaRPr lang="es-MX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8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9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0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1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2.bin"/></Relationships>
</file>

<file path=xl/chart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3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4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5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7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8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9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Gráfico1">
    <tabColor indexed="44"/>
  </sheetPr>
  <sheetViews>
    <sheetView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Gráfico2">
    <tabColor indexed="44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headerFooter alignWithMargins="0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Gráfico4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Gráfico36">
    <tabColor indexed="44"/>
  </sheetPr>
  <sheetViews>
    <sheetView tabSelected="1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Gráfico38"/>
  <sheetViews>
    <sheetView zoomScale="8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Gráfico5">
    <tabColor indexed="41"/>
  </sheetPr>
  <sheetViews>
    <sheetView zoomScale="102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Gráfico8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Gráfico7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9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Gráfico9">
    <tabColor indexed="44"/>
  </sheetPr>
  <sheetViews>
    <sheetView zoomScale="8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Gráfico10">
    <tabColor indexed="44"/>
  </sheetPr>
  <sheetViews>
    <sheetView zoomScale="67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Gráfico17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Gráfico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Gráfico11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Gráfico12">
    <tabColor indexed="44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Gráfico39">
    <tabColor indexed="10"/>
  </sheetPr>
  <sheetViews>
    <sheetView zoomScale="88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Gráfico40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Gráfico14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Gráfico30">
    <tabColor indexed="10"/>
  </sheetPr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Gráfico15">
    <tabColor indexed="1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Gráfico18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Gráfico41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Gráfico28">
    <tabColor indexed="10"/>
  </sheetPr>
  <sheetViews>
    <sheetView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Gráfico32">
    <tabColor indexed="10"/>
  </sheetPr>
  <sheetViews>
    <sheetView zoomScale="7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Gráfico42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Gráfico19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Gráfico20">
    <tabColor indexed="35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 codeName="Gráfico21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Gráfico22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33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 codeName="Gráfico23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Gráfico24">
    <tabColor indexed="10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 codeName="Gráfico25">
    <tabColor indexed="51"/>
  </sheetPr>
  <sheetViews>
    <sheetView zoomScale="7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Gráfico26">
    <tabColor indexed="51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 codeName="Gráfico27">
    <tabColor indexed="13"/>
  </sheetPr>
  <sheetViews>
    <sheetView zoomScale="5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6.xml><?xml version="1.0" encoding="utf-8"?>
<chartsheet xmlns="http://schemas.openxmlformats.org/spreadsheetml/2006/main" xmlns:r="http://schemas.openxmlformats.org/officeDocument/2006/relationships">
  <sheetPr codeName="Gráfico46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 codeName="Gráfico47">
    <tabColor indexed="44"/>
  </sheetPr>
  <sheetViews>
    <sheetView zoomScale="9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 codeName="Gráfico48">
    <tabColor indexed="44"/>
  </sheetPr>
  <sheetViews>
    <sheetView zoomScale="70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 codeName="Gráfico49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áfico34"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chartsheets/sheet50.xml><?xml version="1.0" encoding="utf-8"?>
<chartsheet xmlns="http://schemas.openxmlformats.org/spreadsheetml/2006/main" xmlns:r="http://schemas.openxmlformats.org/officeDocument/2006/relationships">
  <sheetPr codeName="Gráfico5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 codeName="Gráfico52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 codeName="Gráfico5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Gráfico35"/>
  <sheetViews>
    <sheetView zoomScale="7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Gráfico1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0696" cy="629435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4" name="Rectangle 60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10</xdr:col>
      <xdr:colOff>0</xdr:colOff>
      <xdr:row>346</xdr:row>
      <xdr:rowOff>0</xdr:rowOff>
    </xdr:from>
    <xdr:ext cx="21373" cy="206766"/>
    <xdr:sp macro="" textlink="">
      <xdr:nvSpPr>
        <xdr:cNvPr id="1085" name="Rectangle 61"/>
        <xdr:cNvSpPr>
          <a:spLocks noChangeArrowheads="1"/>
        </xdr:cNvSpPr>
      </xdr:nvSpPr>
      <xdr:spPr bwMode="auto">
        <a:xfrm>
          <a:off x="38004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7" name="Rectangle 63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0" name="Rectangle 6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2" name="Rectangle 68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17</xdr:col>
      <xdr:colOff>0</xdr:colOff>
      <xdr:row>346</xdr:row>
      <xdr:rowOff>0</xdr:rowOff>
    </xdr:from>
    <xdr:ext cx="65" cy="411572"/>
    <xdr:sp macro="" textlink="">
      <xdr:nvSpPr>
        <xdr:cNvPr id="1093" name="Rectangle 69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17</xdr:col>
      <xdr:colOff>0</xdr:colOff>
      <xdr:row>346</xdr:row>
      <xdr:rowOff>0</xdr:rowOff>
    </xdr:from>
    <xdr:ext cx="65" cy="411572"/>
    <xdr:sp macro="" textlink="">
      <xdr:nvSpPr>
        <xdr:cNvPr id="1094" name="Rectangle 70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17</xdr:col>
      <xdr:colOff>0</xdr:colOff>
      <xdr:row>346</xdr:row>
      <xdr:rowOff>0</xdr:rowOff>
    </xdr:from>
    <xdr:ext cx="65" cy="411572"/>
    <xdr:sp macro="" textlink="">
      <xdr:nvSpPr>
        <xdr:cNvPr id="1095" name="Rectangle 71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346</xdr:row>
      <xdr:rowOff>0</xdr:rowOff>
    </xdr:from>
    <xdr:ext cx="65" cy="411572"/>
    <xdr:sp macro="" textlink="">
      <xdr:nvSpPr>
        <xdr:cNvPr id="1096" name="Rectangle 7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7" name="Rectangle 73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8" name="Rectangle 74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099" name="Rectangle 75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346</xdr:row>
      <xdr:rowOff>0</xdr:rowOff>
    </xdr:from>
    <xdr:ext cx="65" cy="411572"/>
    <xdr:sp macro="" textlink="">
      <xdr:nvSpPr>
        <xdr:cNvPr id="1100" name="Rectangle 7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12</xdr:col>
      <xdr:colOff>0</xdr:colOff>
      <xdr:row>346</xdr:row>
      <xdr:rowOff>0</xdr:rowOff>
    </xdr:from>
    <xdr:ext cx="21373" cy="206766"/>
    <xdr:sp macro="" textlink="">
      <xdr:nvSpPr>
        <xdr:cNvPr id="1101" name="Rectangle 77"/>
        <xdr:cNvSpPr>
          <a:spLocks noChangeArrowheads="1"/>
        </xdr:cNvSpPr>
      </xdr:nvSpPr>
      <xdr:spPr bwMode="auto">
        <a:xfrm>
          <a:off x="63912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14</xdr:col>
      <xdr:colOff>0</xdr:colOff>
      <xdr:row>346</xdr:row>
      <xdr:rowOff>0</xdr:rowOff>
    </xdr:from>
    <xdr:ext cx="21373" cy="206766"/>
    <xdr:sp macro="" textlink="">
      <xdr:nvSpPr>
        <xdr:cNvPr id="1102" name="Rectangle 78"/>
        <xdr:cNvSpPr>
          <a:spLocks noChangeArrowheads="1"/>
        </xdr:cNvSpPr>
      </xdr:nvSpPr>
      <xdr:spPr bwMode="auto">
        <a:xfrm>
          <a:off x="8858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15</xdr:col>
      <xdr:colOff>0</xdr:colOff>
      <xdr:row>346</xdr:row>
      <xdr:rowOff>0</xdr:rowOff>
    </xdr:from>
    <xdr:ext cx="21373" cy="206766"/>
    <xdr:sp macro="" textlink="">
      <xdr:nvSpPr>
        <xdr:cNvPr id="1103" name="Rectangle 79"/>
        <xdr:cNvSpPr>
          <a:spLocks noChangeArrowheads="1"/>
        </xdr:cNvSpPr>
      </xdr:nvSpPr>
      <xdr:spPr bwMode="auto">
        <a:xfrm>
          <a:off x="10763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11</xdr:col>
      <xdr:colOff>0</xdr:colOff>
      <xdr:row>346</xdr:row>
      <xdr:rowOff>0</xdr:rowOff>
    </xdr:from>
    <xdr:ext cx="21373" cy="206766"/>
    <xdr:sp macro="" textlink="">
      <xdr:nvSpPr>
        <xdr:cNvPr id="23" name="Rectangle 61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13</xdr:col>
      <xdr:colOff>0</xdr:colOff>
      <xdr:row>346</xdr:row>
      <xdr:rowOff>0</xdr:rowOff>
    </xdr:from>
    <xdr:ext cx="21373" cy="206766"/>
    <xdr:sp macro="" textlink="">
      <xdr:nvSpPr>
        <xdr:cNvPr id="24" name="Rectangle 77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15</xdr:col>
      <xdr:colOff>0</xdr:colOff>
      <xdr:row>346</xdr:row>
      <xdr:rowOff>0</xdr:rowOff>
    </xdr:from>
    <xdr:ext cx="21373" cy="206766"/>
    <xdr:sp macro="" textlink="">
      <xdr:nvSpPr>
        <xdr:cNvPr id="25" name="Rectangle 78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15</xdr:col>
      <xdr:colOff>0</xdr:colOff>
      <xdr:row>346</xdr:row>
      <xdr:rowOff>0</xdr:rowOff>
    </xdr:from>
    <xdr:ext cx="21373" cy="206766"/>
    <xdr:sp macro="" textlink="">
      <xdr:nvSpPr>
        <xdr:cNvPr id="26" name="Rectangle 79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8660" y="9719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13273" cy="561109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28575" y="9525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18448" cy="562741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567928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586716" cy="584294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0.94415</cdr:x>
      <cdr:y>0.09395</cdr:y>
    </cdr:from>
    <cdr:to>
      <cdr:x>0.97947</cdr:x>
      <cdr:y>0.71778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433086" y="2218249"/>
          <a:ext cx="3642418" cy="303092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0.99</cdr:x>
      <cdr:y>0.68725</cdr:y>
    </cdr:from>
    <cdr:to>
      <cdr:x>1</cdr:x>
      <cdr:y>0.72475</cdr:y>
    </cdr:to>
    <cdr:sp macro="" textlink="">
      <cdr:nvSpPr>
        <cdr:cNvPr id="182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025" y="4012732"/>
          <a:ext cx="85820" cy="218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0.31175</cdr:y>
    </cdr:from>
    <cdr:to>
      <cdr:x>0.02425</cdr:x>
      <cdr:y>0.40725</cdr:y>
    </cdr:to>
    <cdr:sp macro="" textlink="">
      <cdr:nvSpPr>
        <cdr:cNvPr id="181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820254"/>
          <a:ext cx="208114" cy="557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02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762000" y="485775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0</xdr:colOff>
      <xdr:row>43</xdr:row>
      <xdr:rowOff>0</xdr:rowOff>
    </xdr:from>
    <xdr:to>
      <xdr:col>8</xdr:col>
      <xdr:colOff>0</xdr:colOff>
      <xdr:row>59</xdr:row>
      <xdr:rowOff>154642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9525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-27214" y="-40821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567417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19050" y="76200"/>
    <xdr:ext cx="857250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0.13403</cdr:x>
      <cdr:y>0.00255</cdr:y>
    </cdr:from>
    <cdr:to>
      <cdr:x>0.24023</cdr:x>
      <cdr:y>0.14934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54113" y="1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</cdr:x>
      <cdr:y>0.25128</cdr:y>
    </cdr:from>
    <cdr:to>
      <cdr:x>0.0339</cdr:x>
      <cdr:y>0.50896</cdr:y>
    </cdr:to>
    <cdr:sp macro="" textlink="">
      <cdr:nvSpPr>
        <cdr:cNvPr id="4" name="3 CuadroTexto"/>
        <cdr:cNvSpPr txBox="1"/>
      </cdr:nvSpPr>
      <cdr:spPr>
        <a:xfrm xmlns:a="http://schemas.openxmlformats.org/drawingml/2006/main" rot="16200000">
          <a:off x="-671763" y="2219367"/>
          <a:ext cx="1606494" cy="288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</a:rPr>
            <a:t>Millones</a:t>
          </a:r>
          <a:r>
            <a:rPr lang="es-MX" sz="1400" b="1" baseline="0">
              <a:solidFill>
                <a:sysClr val="windowText" lastClr="000000"/>
              </a:solidFill>
            </a:rPr>
            <a:t> de pesos</a:t>
          </a:r>
          <a:endParaRPr lang="es-MX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123826</xdr:rowOff>
    </xdr:from>
    <xdr:to>
      <xdr:col>7</xdr:col>
      <xdr:colOff>352425</xdr:colOff>
      <xdr:row>24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47624</xdr:colOff>
      <xdr:row>2</xdr:row>
      <xdr:rowOff>104775</xdr:rowOff>
    </xdr:from>
    <xdr:to>
      <xdr:col>16</xdr:col>
      <xdr:colOff>57150</xdr:colOff>
      <xdr:row>24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609600</xdr:colOff>
      <xdr:row>25</xdr:row>
      <xdr:rowOff>71437</xdr:rowOff>
    </xdr:from>
    <xdr:to>
      <xdr:col>7</xdr:col>
      <xdr:colOff>381000</xdr:colOff>
      <xdr:row>42</xdr:row>
      <xdr:rowOff>61912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247651</xdr:colOff>
      <xdr:row>44</xdr:row>
      <xdr:rowOff>157161</xdr:rowOff>
    </xdr:from>
    <xdr:to>
      <xdr:col>14</xdr:col>
      <xdr:colOff>581025</xdr:colOff>
      <xdr:row>75</xdr:row>
      <xdr:rowOff>133349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0.01871</cdr:x>
      <cdr:y>0.02108</cdr:y>
    </cdr:from>
    <cdr:to>
      <cdr:x>0.58672</cdr:x>
      <cdr:y>0.12316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208" y="132597"/>
          <a:ext cx="4924770" cy="641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2800" b="1">
              <a:solidFill>
                <a:srgbClr val="003399"/>
              </a:solidFill>
              <a:latin typeface="Agency FB" pitchFamily="34" charset="0"/>
            </a:rPr>
            <a:t>Ingreso</a:t>
          </a:r>
          <a:r>
            <a:rPr lang="es-MX" sz="2800" b="1" baseline="0">
              <a:solidFill>
                <a:srgbClr val="003399"/>
              </a:solidFill>
              <a:latin typeface="Agency FB" pitchFamily="34" charset="0"/>
            </a:rPr>
            <a:t>s por  Vinculación (miles$)</a:t>
          </a:r>
          <a:endParaRPr lang="es-MX" sz="2800" b="1">
            <a:solidFill>
              <a:srgbClr val="003399"/>
            </a:solidFill>
            <a:latin typeface="Agency FB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ica-pc\Users\momiranda\AppData\Roaming\Microsoft\Excel\Factores%20de%20Impacto%202006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3"/>
      <sheetName val="Hoja1"/>
      <sheetName val="Hoja2"/>
      <sheetName val="Hoja3"/>
    </sheetNames>
    <sheetDataSet>
      <sheetData sheetId="0" refreshError="1"/>
      <sheetData sheetId="1">
        <row r="12">
          <cell r="J12">
            <v>2006</v>
          </cell>
          <cell r="K12">
            <v>2007</v>
          </cell>
          <cell r="L12">
            <v>2008</v>
          </cell>
          <cell r="M12">
            <v>2009</v>
          </cell>
          <cell r="N12">
            <v>2010</v>
          </cell>
        </row>
        <row r="13">
          <cell r="I13" t="str">
            <v>Menor que 1</v>
          </cell>
          <cell r="J13">
            <v>36</v>
          </cell>
          <cell r="K13">
            <v>29</v>
          </cell>
          <cell r="L13">
            <v>32</v>
          </cell>
          <cell r="M13">
            <v>23</v>
          </cell>
          <cell r="N13">
            <v>27</v>
          </cell>
        </row>
        <row r="14">
          <cell r="I14" t="str">
            <v>Entre 1 y 2</v>
          </cell>
          <cell r="J14">
            <v>20</v>
          </cell>
          <cell r="K14">
            <v>33</v>
          </cell>
          <cell r="L14">
            <v>49</v>
          </cell>
          <cell r="M14">
            <v>60</v>
          </cell>
          <cell r="N14">
            <v>42</v>
          </cell>
        </row>
        <row r="15">
          <cell r="I15" t="str">
            <v>Entre 2 y 3</v>
          </cell>
          <cell r="J15">
            <v>14</v>
          </cell>
          <cell r="K15">
            <v>8</v>
          </cell>
          <cell r="L15">
            <v>9</v>
          </cell>
          <cell r="M15">
            <v>19</v>
          </cell>
          <cell r="N15">
            <v>20</v>
          </cell>
        </row>
        <row r="16">
          <cell r="I16" t="str">
            <v>Entre 3 y 5</v>
          </cell>
          <cell r="J16">
            <v>0</v>
          </cell>
          <cell r="K16">
            <v>2</v>
          </cell>
          <cell r="L16">
            <v>8</v>
          </cell>
          <cell r="M16">
            <v>9</v>
          </cell>
          <cell r="N16">
            <v>14</v>
          </cell>
        </row>
        <row r="17">
          <cell r="I17" t="str">
            <v>Mayor a 5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Mirador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8">
    <tabColor indexed="34"/>
  </sheetPr>
  <dimension ref="A1:AF742"/>
  <sheetViews>
    <sheetView topLeftCell="A73" zoomScale="80" zoomScaleNormal="80" workbookViewId="0">
      <selection activeCell="I83" sqref="I83:R91"/>
    </sheetView>
  </sheetViews>
  <sheetFormatPr baseColWidth="10" defaultRowHeight="14.25"/>
  <cols>
    <col min="1" max="1" width="9.42578125" style="201" bestFit="1" customWidth="1"/>
    <col min="2" max="2" width="1.7109375" style="201" customWidth="1"/>
    <col min="3" max="7" width="9.42578125" style="201" hidden="1" customWidth="1"/>
    <col min="8" max="8" width="2.85546875" style="201" customWidth="1"/>
    <col min="9" max="9" width="59.5703125" style="201" customWidth="1"/>
    <col min="10" max="10" width="20.28515625" style="202" hidden="1" customWidth="1"/>
    <col min="11" max="11" width="22.85546875" style="202" hidden="1" customWidth="1"/>
    <col min="12" max="12" width="20.28515625" style="202" hidden="1" customWidth="1"/>
    <col min="13" max="13" width="16.7109375" style="202" hidden="1" customWidth="1"/>
    <col min="14" max="14" width="17" style="202" hidden="1" customWidth="1"/>
    <col min="15" max="15" width="17.7109375" style="202" hidden="1" customWidth="1"/>
    <col min="16" max="16" width="17" style="203" customWidth="1"/>
    <col min="17" max="17" width="17.7109375" style="203" customWidth="1"/>
    <col min="18" max="18" width="17" style="203" customWidth="1"/>
    <col min="19" max="19" width="23.140625" style="203" customWidth="1"/>
    <col min="20" max="20" width="17.5703125" style="203" customWidth="1"/>
    <col min="21" max="21" width="17.7109375" style="202" customWidth="1"/>
    <col min="22" max="22" width="17" style="202" customWidth="1"/>
    <col min="23" max="23" width="13.5703125" style="202" customWidth="1"/>
    <col min="24" max="24" width="17.85546875" style="201" customWidth="1"/>
    <col min="25" max="25" width="14.5703125" style="201" customWidth="1"/>
    <col min="26" max="27" width="19.28515625" style="201" customWidth="1"/>
    <col min="28" max="28" width="18.5703125" style="201" customWidth="1"/>
    <col min="29" max="29" width="19.5703125" style="201" customWidth="1"/>
    <col min="30" max="30" width="17.7109375" style="201" customWidth="1"/>
    <col min="31" max="31" width="16" style="201" customWidth="1"/>
    <col min="32" max="16384" width="11.42578125" style="201"/>
  </cols>
  <sheetData>
    <row r="1" spans="1:30">
      <c r="X1" s="201" t="s">
        <v>591</v>
      </c>
    </row>
    <row r="2" spans="1:30" s="204" customFormat="1" ht="15">
      <c r="L2" s="205"/>
      <c r="M2" s="205"/>
      <c r="N2" s="205"/>
      <c r="O2" s="205"/>
      <c r="P2" s="205"/>
      <c r="R2" s="206"/>
      <c r="S2" s="207"/>
      <c r="T2" s="207"/>
      <c r="U2" s="207"/>
      <c r="V2" s="207"/>
      <c r="W2" s="207"/>
      <c r="AC2" s="201"/>
      <c r="AD2" s="208"/>
    </row>
    <row r="3" spans="1:30" ht="15">
      <c r="I3" s="209" t="s">
        <v>508</v>
      </c>
      <c r="J3" s="210" t="s">
        <v>2</v>
      </c>
      <c r="K3" s="210" t="s">
        <v>22</v>
      </c>
      <c r="L3" s="210" t="s">
        <v>25</v>
      </c>
      <c r="M3" s="210" t="s">
        <v>44</v>
      </c>
      <c r="N3" s="210" t="s">
        <v>55</v>
      </c>
      <c r="O3" s="210" t="s">
        <v>70</v>
      </c>
      <c r="P3" s="210" t="s">
        <v>72</v>
      </c>
      <c r="Q3" s="210">
        <v>2009</v>
      </c>
      <c r="R3" s="210">
        <v>2013</v>
      </c>
      <c r="S3" s="211"/>
      <c r="T3" s="211"/>
      <c r="U3" s="201"/>
      <c r="V3" s="201"/>
      <c r="W3" s="201"/>
    </row>
    <row r="4" spans="1:30">
      <c r="I4" s="212" t="s">
        <v>218</v>
      </c>
      <c r="J4" s="213">
        <v>8</v>
      </c>
      <c r="K4" s="213">
        <v>7</v>
      </c>
      <c r="L4" s="213">
        <v>7</v>
      </c>
      <c r="M4" s="213">
        <v>9</v>
      </c>
      <c r="N4" s="213">
        <v>9</v>
      </c>
      <c r="O4" s="213">
        <v>8</v>
      </c>
      <c r="P4" s="213">
        <v>14</v>
      </c>
      <c r="Q4" s="213">
        <v>9</v>
      </c>
      <c r="R4" s="213">
        <v>12</v>
      </c>
      <c r="S4" s="214"/>
      <c r="T4" s="214"/>
      <c r="U4" s="201"/>
      <c r="V4" s="201"/>
      <c r="W4" s="201"/>
    </row>
    <row r="5" spans="1:30">
      <c r="I5" s="212" t="s">
        <v>510</v>
      </c>
      <c r="J5" s="213"/>
      <c r="K5" s="213"/>
      <c r="L5" s="213"/>
      <c r="M5" s="213">
        <v>14</v>
      </c>
      <c r="N5" s="213">
        <v>17</v>
      </c>
      <c r="O5" s="213">
        <v>21</v>
      </c>
      <c r="P5" s="213">
        <v>20</v>
      </c>
      <c r="Q5" s="213">
        <v>16</v>
      </c>
      <c r="R5" s="213">
        <v>15</v>
      </c>
      <c r="S5" s="214"/>
      <c r="T5" s="214"/>
      <c r="U5" s="201"/>
      <c r="V5" s="201"/>
      <c r="W5" s="201"/>
    </row>
    <row r="6" spans="1:30">
      <c r="I6" s="212" t="s">
        <v>512</v>
      </c>
      <c r="J6" s="213">
        <v>29</v>
      </c>
      <c r="K6" s="213">
        <v>31</v>
      </c>
      <c r="L6" s="213">
        <v>34</v>
      </c>
      <c r="M6" s="213">
        <v>26</v>
      </c>
      <c r="N6" s="213">
        <v>25</v>
      </c>
      <c r="O6" s="213">
        <v>24</v>
      </c>
      <c r="P6" s="213">
        <v>20</v>
      </c>
      <c r="Q6" s="213">
        <v>26</v>
      </c>
      <c r="R6" s="213">
        <v>25</v>
      </c>
      <c r="S6" s="214"/>
      <c r="T6" s="214"/>
      <c r="U6" s="201"/>
      <c r="V6" s="201"/>
      <c r="W6" s="201"/>
    </row>
    <row r="7" spans="1:30">
      <c r="H7" s="201" t="s">
        <v>595</v>
      </c>
      <c r="I7" s="212" t="s">
        <v>509</v>
      </c>
      <c r="J7" s="213">
        <v>67</v>
      </c>
      <c r="K7" s="213">
        <v>79</v>
      </c>
      <c r="L7" s="213">
        <v>81</v>
      </c>
      <c r="M7" s="213">
        <v>94</v>
      </c>
      <c r="N7" s="213">
        <v>93</v>
      </c>
      <c r="O7" s="213">
        <v>99</v>
      </c>
      <c r="P7" s="213">
        <f>P78</f>
        <v>97</v>
      </c>
      <c r="Q7" s="213">
        <v>130</v>
      </c>
      <c r="R7" s="213">
        <v>143</v>
      </c>
      <c r="S7" s="214"/>
      <c r="T7" s="214"/>
      <c r="U7" s="201"/>
      <c r="V7" s="201"/>
      <c r="W7" s="201"/>
    </row>
    <row r="8" spans="1:30" ht="15">
      <c r="I8" s="215" t="s">
        <v>21</v>
      </c>
      <c r="J8" s="216">
        <f t="shared" ref="J8:O8" si="0">SUM(J4:J6)</f>
        <v>37</v>
      </c>
      <c r="K8" s="216">
        <f t="shared" si="0"/>
        <v>38</v>
      </c>
      <c r="L8" s="216">
        <f t="shared" si="0"/>
        <v>41</v>
      </c>
      <c r="M8" s="216">
        <f t="shared" si="0"/>
        <v>49</v>
      </c>
      <c r="N8" s="216">
        <f t="shared" si="0"/>
        <v>51</v>
      </c>
      <c r="O8" s="216">
        <f t="shared" si="0"/>
        <v>53</v>
      </c>
      <c r="P8" s="216">
        <f>SUM(P4:P7)</f>
        <v>151</v>
      </c>
      <c r="Q8" s="216">
        <f>SUM(Q4:Q7)</f>
        <v>181</v>
      </c>
      <c r="R8" s="216">
        <f>SUM(R4:R7)</f>
        <v>195</v>
      </c>
      <c r="S8" s="214"/>
      <c r="T8" s="214"/>
      <c r="U8" s="201"/>
      <c r="V8" s="201"/>
      <c r="W8" s="201"/>
    </row>
    <row r="9" spans="1:30">
      <c r="I9" s="201" t="s">
        <v>47</v>
      </c>
      <c r="L9" s="214"/>
      <c r="M9" s="214"/>
      <c r="N9" s="214"/>
      <c r="O9" s="214"/>
      <c r="P9" s="214"/>
      <c r="Q9" s="214"/>
      <c r="R9" s="201"/>
      <c r="S9" s="201"/>
      <c r="T9" s="201"/>
      <c r="U9" s="201"/>
      <c r="V9" s="201"/>
      <c r="W9" s="201"/>
    </row>
    <row r="10" spans="1:30" s="204" customFormat="1">
      <c r="L10" s="205"/>
      <c r="M10" s="205"/>
      <c r="N10" s="205"/>
      <c r="O10" s="205"/>
      <c r="P10" s="205"/>
      <c r="Q10" s="207"/>
      <c r="V10" s="201"/>
      <c r="W10" s="208"/>
    </row>
    <row r="11" spans="1:30" ht="15">
      <c r="A11" s="201" t="s">
        <v>601</v>
      </c>
      <c r="I11" s="209" t="s">
        <v>508</v>
      </c>
      <c r="J11" s="210" t="s">
        <v>2</v>
      </c>
      <c r="K11" s="210" t="s">
        <v>22</v>
      </c>
      <c r="L11" s="210" t="s">
        <v>25</v>
      </c>
      <c r="M11" s="210" t="s">
        <v>44</v>
      </c>
      <c r="N11" s="210" t="s">
        <v>55</v>
      </c>
      <c r="O11" s="210" t="s">
        <v>70</v>
      </c>
      <c r="P11" s="210">
        <v>2004</v>
      </c>
      <c r="Q11" s="210">
        <v>2009</v>
      </c>
      <c r="R11" s="210">
        <v>2013</v>
      </c>
      <c r="S11" s="211"/>
      <c r="T11" s="211"/>
      <c r="U11" s="201"/>
      <c r="V11" s="201"/>
      <c r="W11" s="201"/>
    </row>
    <row r="12" spans="1:30">
      <c r="I12" s="212" t="s">
        <v>511</v>
      </c>
      <c r="J12" s="213">
        <v>8</v>
      </c>
      <c r="K12" s="213">
        <v>7</v>
      </c>
      <c r="L12" s="213">
        <v>7</v>
      </c>
      <c r="M12" s="213">
        <v>9</v>
      </c>
      <c r="N12" s="213">
        <v>9</v>
      </c>
      <c r="O12" s="213">
        <v>8</v>
      </c>
      <c r="P12" s="213">
        <v>14</v>
      </c>
      <c r="Q12" s="213">
        <v>9</v>
      </c>
      <c r="R12" s="213">
        <v>12</v>
      </c>
      <c r="S12" s="214"/>
      <c r="T12" s="214"/>
      <c r="U12" s="201"/>
      <c r="V12" s="201"/>
      <c r="W12" s="201"/>
    </row>
    <row r="13" spans="1:30">
      <c r="I13" s="212" t="s">
        <v>219</v>
      </c>
      <c r="J13" s="213">
        <v>29</v>
      </c>
      <c r="K13" s="213">
        <v>31</v>
      </c>
      <c r="L13" s="213">
        <v>34</v>
      </c>
      <c r="M13" s="213">
        <v>40</v>
      </c>
      <c r="N13" s="213">
        <v>42</v>
      </c>
      <c r="O13" s="213">
        <v>45</v>
      </c>
      <c r="P13" s="213">
        <v>40</v>
      </c>
      <c r="Q13" s="213">
        <v>42</v>
      </c>
      <c r="R13" s="213">
        <v>40</v>
      </c>
      <c r="S13" s="214"/>
      <c r="T13" s="214"/>
      <c r="U13" s="201"/>
      <c r="V13" s="201"/>
      <c r="W13" s="201"/>
    </row>
    <row r="14" spans="1:30">
      <c r="H14" s="201" t="s">
        <v>595</v>
      </c>
      <c r="I14" s="212" t="s">
        <v>459</v>
      </c>
      <c r="J14" s="213">
        <v>67</v>
      </c>
      <c r="K14" s="213">
        <v>79</v>
      </c>
      <c r="L14" s="213">
        <v>81</v>
      </c>
      <c r="M14" s="213">
        <v>94</v>
      </c>
      <c r="N14" s="213">
        <v>93</v>
      </c>
      <c r="O14" s="213">
        <v>99</v>
      </c>
      <c r="P14" s="213">
        <v>97</v>
      </c>
      <c r="Q14" s="213">
        <v>130</v>
      </c>
      <c r="R14" s="213">
        <v>143</v>
      </c>
      <c r="S14" s="214"/>
      <c r="T14" s="214"/>
      <c r="U14" s="201"/>
      <c r="V14" s="201"/>
      <c r="W14" s="201"/>
    </row>
    <row r="15" spans="1:30" ht="15">
      <c r="I15" s="215" t="s">
        <v>21</v>
      </c>
      <c r="J15" s="216">
        <f t="shared" ref="J15:O15" si="1">SUM(J12:J13)</f>
        <v>37</v>
      </c>
      <c r="K15" s="216">
        <f t="shared" si="1"/>
        <v>38</v>
      </c>
      <c r="L15" s="216">
        <f t="shared" si="1"/>
        <v>41</v>
      </c>
      <c r="M15" s="216">
        <f t="shared" si="1"/>
        <v>49</v>
      </c>
      <c r="N15" s="216">
        <f t="shared" si="1"/>
        <v>51</v>
      </c>
      <c r="O15" s="216">
        <f t="shared" si="1"/>
        <v>53</v>
      </c>
      <c r="P15" s="216">
        <f>SUM(P12:P14)</f>
        <v>151</v>
      </c>
      <c r="Q15" s="216">
        <f>SUM(Q12:Q14)</f>
        <v>181</v>
      </c>
      <c r="R15" s="216">
        <f>SUM(R12:R14)</f>
        <v>195</v>
      </c>
      <c r="S15" s="216" t="s">
        <v>602</v>
      </c>
      <c r="T15" s="214"/>
      <c r="U15" s="201"/>
      <c r="V15" s="201"/>
      <c r="W15" s="201"/>
    </row>
    <row r="16" spans="1:30" ht="15">
      <c r="I16" s="215" t="s">
        <v>514</v>
      </c>
      <c r="J16" s="216"/>
      <c r="K16" s="216"/>
      <c r="L16" s="216"/>
      <c r="M16" s="216"/>
      <c r="N16" s="216"/>
      <c r="O16" s="216"/>
      <c r="P16" s="216"/>
      <c r="Q16" s="217">
        <f>(Q15/P15-1)</f>
        <v>0.19867549668874163</v>
      </c>
      <c r="R16" s="217">
        <f>(R15/Q15-1)</f>
        <v>7.7348066298342566E-2</v>
      </c>
      <c r="S16" s="217">
        <f>(R15/P15-1)</f>
        <v>0.29139072847682113</v>
      </c>
      <c r="T16" s="214"/>
      <c r="U16" s="201"/>
      <c r="V16" s="201"/>
      <c r="W16" s="201"/>
    </row>
    <row r="17" spans="9:30">
      <c r="I17" s="201" t="s">
        <v>47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</row>
    <row r="18" spans="9:30" ht="15">
      <c r="I18" s="218" t="s">
        <v>513</v>
      </c>
      <c r="P18" s="202"/>
      <c r="Q18" s="202"/>
      <c r="R18" s="202"/>
      <c r="S18" s="202"/>
      <c r="T18" s="202"/>
      <c r="X18" s="202"/>
      <c r="Y18" s="202"/>
      <c r="Z18" s="202"/>
      <c r="AA18" s="202"/>
      <c r="AB18" s="202"/>
      <c r="AC18" s="208"/>
      <c r="AD18" s="208"/>
    </row>
    <row r="19" spans="9:30" s="204" customFormat="1">
      <c r="J19" s="214"/>
      <c r="K19" s="214"/>
      <c r="L19" s="214"/>
      <c r="M19" s="214"/>
      <c r="N19" s="214"/>
      <c r="O19" s="214"/>
      <c r="P19" s="205"/>
      <c r="Q19" s="205"/>
      <c r="R19" s="205"/>
      <c r="S19" s="205"/>
      <c r="T19" s="205"/>
      <c r="U19" s="214"/>
      <c r="V19" s="214"/>
      <c r="W19" s="214"/>
    </row>
    <row r="20" spans="9:30" ht="15">
      <c r="I20" s="219" t="s">
        <v>7</v>
      </c>
      <c r="J20" s="220" t="s">
        <v>2</v>
      </c>
      <c r="K20" s="220" t="s">
        <v>22</v>
      </c>
      <c r="L20" s="220" t="s">
        <v>25</v>
      </c>
      <c r="M20" s="220" t="s">
        <v>44</v>
      </c>
      <c r="N20" s="220" t="s">
        <v>55</v>
      </c>
      <c r="O20" s="220" t="s">
        <v>70</v>
      </c>
      <c r="P20" s="220" t="s">
        <v>72</v>
      </c>
      <c r="Q20" s="210">
        <v>2009</v>
      </c>
      <c r="R20" s="210">
        <v>2013</v>
      </c>
      <c r="S20" s="211"/>
      <c r="T20" s="211"/>
      <c r="U20" s="201"/>
      <c r="V20" s="201"/>
      <c r="W20" s="201"/>
    </row>
    <row r="21" spans="9:30">
      <c r="I21" s="221" t="s">
        <v>81</v>
      </c>
      <c r="J21" s="213">
        <v>19</v>
      </c>
      <c r="K21" s="199">
        <v>26</v>
      </c>
      <c r="L21" s="199">
        <v>24</v>
      </c>
      <c r="M21" s="199">
        <v>26</v>
      </c>
      <c r="N21" s="199">
        <v>28</v>
      </c>
      <c r="O21" s="213">
        <v>26</v>
      </c>
      <c r="P21" s="199">
        <v>26</v>
      </c>
      <c r="Q21" s="213">
        <v>39</v>
      </c>
      <c r="R21" s="213">
        <v>45</v>
      </c>
      <c r="S21" s="214"/>
      <c r="T21" s="214"/>
      <c r="U21" s="201"/>
      <c r="V21" s="201"/>
      <c r="W21" s="201"/>
    </row>
    <row r="22" spans="9:30">
      <c r="I22" s="221" t="s">
        <v>8</v>
      </c>
      <c r="J22" s="213">
        <v>14</v>
      </c>
      <c r="K22" s="199">
        <v>9</v>
      </c>
      <c r="L22" s="199">
        <v>9</v>
      </c>
      <c r="M22" s="199">
        <v>12</v>
      </c>
      <c r="N22" s="199">
        <v>9</v>
      </c>
      <c r="O22" s="213">
        <v>10</v>
      </c>
      <c r="P22" s="199">
        <v>9</v>
      </c>
      <c r="Q22" s="213">
        <v>9</v>
      </c>
      <c r="R22" s="213">
        <v>7</v>
      </c>
      <c r="S22" s="214"/>
      <c r="T22" s="214"/>
      <c r="U22" s="201"/>
      <c r="V22" s="201"/>
      <c r="W22" s="201"/>
    </row>
    <row r="23" spans="9:30">
      <c r="I23" s="221" t="s">
        <v>9</v>
      </c>
      <c r="J23" s="213">
        <v>0</v>
      </c>
      <c r="K23" s="199">
        <v>0</v>
      </c>
      <c r="L23" s="199">
        <v>0</v>
      </c>
      <c r="M23" s="199">
        <v>2</v>
      </c>
      <c r="N23" s="199">
        <v>0</v>
      </c>
      <c r="O23" s="213">
        <v>0</v>
      </c>
      <c r="P23" s="199">
        <v>0</v>
      </c>
      <c r="Q23" s="213">
        <v>0</v>
      </c>
      <c r="R23" s="213">
        <v>0</v>
      </c>
      <c r="S23" s="214"/>
      <c r="T23" s="214"/>
      <c r="U23" s="201"/>
      <c r="V23" s="201"/>
      <c r="W23" s="201"/>
    </row>
    <row r="24" spans="9:30">
      <c r="I24" s="221" t="s">
        <v>10</v>
      </c>
      <c r="J24" s="213">
        <v>23</v>
      </c>
      <c r="K24" s="199">
        <v>35</v>
      </c>
      <c r="L24" s="199">
        <v>36</v>
      </c>
      <c r="M24" s="199">
        <v>39</v>
      </c>
      <c r="N24" s="199">
        <v>40</v>
      </c>
      <c r="O24" s="213">
        <v>49</v>
      </c>
      <c r="P24" s="199">
        <v>50</v>
      </c>
      <c r="Q24" s="213">
        <v>69</v>
      </c>
      <c r="R24" s="213">
        <v>76</v>
      </c>
      <c r="S24" s="214"/>
      <c r="T24" s="214"/>
      <c r="U24" s="201"/>
      <c r="V24" s="201"/>
      <c r="W24" s="201"/>
    </row>
    <row r="25" spans="9:30">
      <c r="I25" s="221" t="s">
        <v>11</v>
      </c>
      <c r="J25" s="213">
        <v>8</v>
      </c>
      <c r="K25" s="199">
        <v>7</v>
      </c>
      <c r="L25" s="199">
        <v>10</v>
      </c>
      <c r="M25" s="199">
        <v>15</v>
      </c>
      <c r="N25" s="199">
        <v>14</v>
      </c>
      <c r="O25" s="213">
        <v>14</v>
      </c>
      <c r="P25" s="199">
        <v>12</v>
      </c>
      <c r="Q25" s="213">
        <v>13</v>
      </c>
      <c r="R25" s="213">
        <v>15</v>
      </c>
      <c r="S25" s="214"/>
      <c r="T25" s="214"/>
      <c r="U25" s="201"/>
      <c r="V25" s="201"/>
      <c r="W25" s="201"/>
    </row>
    <row r="26" spans="9:30" ht="15">
      <c r="I26" s="221" t="s">
        <v>21</v>
      </c>
      <c r="J26" s="213">
        <f t="shared" ref="J26:P26" si="2">SUM(J21:J25)</f>
        <v>64</v>
      </c>
      <c r="K26" s="213">
        <f t="shared" si="2"/>
        <v>77</v>
      </c>
      <c r="L26" s="213">
        <f t="shared" si="2"/>
        <v>79</v>
      </c>
      <c r="M26" s="213">
        <f t="shared" si="2"/>
        <v>94</v>
      </c>
      <c r="N26" s="213">
        <f t="shared" si="2"/>
        <v>91</v>
      </c>
      <c r="O26" s="213">
        <f t="shared" si="2"/>
        <v>99</v>
      </c>
      <c r="P26" s="213">
        <f t="shared" si="2"/>
        <v>97</v>
      </c>
      <c r="Q26" s="213">
        <f>SUM(Q21:Q25)</f>
        <v>130</v>
      </c>
      <c r="R26" s="213">
        <f>SUM(R21:R25)</f>
        <v>143</v>
      </c>
      <c r="S26" s="216" t="s">
        <v>602</v>
      </c>
      <c r="T26" s="214"/>
      <c r="U26" s="201"/>
      <c r="V26" s="201"/>
      <c r="W26" s="201"/>
    </row>
    <row r="27" spans="9:30" ht="15">
      <c r="I27" s="219" t="s">
        <v>603</v>
      </c>
      <c r="J27" s="216"/>
      <c r="K27" s="216"/>
      <c r="L27" s="216"/>
      <c r="M27" s="216"/>
      <c r="N27" s="216"/>
      <c r="O27" s="216"/>
      <c r="P27" s="216"/>
      <c r="Q27" s="217">
        <f>(Q26/P26-1)</f>
        <v>0.34020618556701021</v>
      </c>
      <c r="R27" s="217">
        <f>(R26/Q26-1)</f>
        <v>0.10000000000000009</v>
      </c>
      <c r="S27" s="217">
        <f>R26/P26-1</f>
        <v>0.47422680412371143</v>
      </c>
      <c r="T27" s="214"/>
      <c r="U27" s="201"/>
      <c r="V27" s="201"/>
      <c r="W27" s="201"/>
    </row>
    <row r="28" spans="9:30">
      <c r="I28" s="221" t="s">
        <v>47</v>
      </c>
      <c r="J28" s="213"/>
      <c r="K28" s="213"/>
      <c r="L28" s="213"/>
      <c r="M28" s="213"/>
      <c r="N28" s="213"/>
      <c r="O28" s="213"/>
      <c r="P28" s="199"/>
      <c r="Q28" s="213"/>
      <c r="R28" s="213"/>
      <c r="S28" s="214"/>
      <c r="T28" s="214"/>
      <c r="U28" s="201"/>
      <c r="V28" s="201"/>
      <c r="W28" s="201"/>
    </row>
    <row r="29" spans="9:30">
      <c r="I29" s="221" t="s">
        <v>43</v>
      </c>
      <c r="J29" s="213">
        <f t="shared" ref="J29:P29" si="3">J21+J22</f>
        <v>33</v>
      </c>
      <c r="K29" s="213">
        <f t="shared" si="3"/>
        <v>35</v>
      </c>
      <c r="L29" s="213">
        <f t="shared" si="3"/>
        <v>33</v>
      </c>
      <c r="M29" s="213">
        <f t="shared" si="3"/>
        <v>38</v>
      </c>
      <c r="N29" s="213">
        <f t="shared" si="3"/>
        <v>37</v>
      </c>
      <c r="O29" s="213">
        <f t="shared" si="3"/>
        <v>36</v>
      </c>
      <c r="P29" s="213">
        <f t="shared" si="3"/>
        <v>35</v>
      </c>
      <c r="Q29" s="213">
        <f>Q21+Q22</f>
        <v>48</v>
      </c>
      <c r="R29" s="213">
        <v>52</v>
      </c>
      <c r="S29" s="214"/>
      <c r="T29" s="214"/>
      <c r="U29" s="201"/>
      <c r="V29" s="201"/>
      <c r="W29" s="201"/>
    </row>
    <row r="30" spans="9:30">
      <c r="I30" s="221" t="s">
        <v>475</v>
      </c>
      <c r="J30" s="213"/>
      <c r="K30" s="213"/>
      <c r="L30" s="213"/>
      <c r="M30" s="213"/>
      <c r="N30" s="213"/>
      <c r="O30" s="213"/>
      <c r="P30" s="213">
        <v>62</v>
      </c>
      <c r="Q30" s="199">
        <v>82</v>
      </c>
      <c r="R30" s="199">
        <v>91</v>
      </c>
      <c r="S30" s="205"/>
      <c r="T30" s="205"/>
      <c r="U30" s="214"/>
      <c r="V30" s="214"/>
      <c r="W30" s="214"/>
      <c r="X30" s="214"/>
      <c r="Y30" s="214"/>
      <c r="Z30" s="214"/>
      <c r="AA30" s="214"/>
    </row>
    <row r="31" spans="9:30">
      <c r="I31" s="221"/>
      <c r="J31" s="213"/>
      <c r="K31" s="213"/>
      <c r="L31" s="213"/>
      <c r="M31" s="213"/>
      <c r="N31" s="213"/>
      <c r="O31" s="213"/>
      <c r="P31" s="213"/>
      <c r="Q31" s="199"/>
      <c r="R31" s="199"/>
      <c r="S31" s="205"/>
      <c r="T31" s="205"/>
      <c r="U31" s="214"/>
      <c r="V31" s="214"/>
      <c r="W31" s="214"/>
      <c r="X31" s="214"/>
      <c r="Y31" s="214"/>
      <c r="Z31" s="214"/>
      <c r="AA31" s="214"/>
    </row>
    <row r="32" spans="9:30">
      <c r="I32" s="221" t="s">
        <v>528</v>
      </c>
      <c r="J32" s="213"/>
      <c r="K32" s="213"/>
      <c r="L32" s="213"/>
      <c r="M32" s="213"/>
      <c r="N32" s="213"/>
      <c r="O32" s="213"/>
      <c r="P32" s="213"/>
      <c r="Q32" s="199"/>
      <c r="R32" s="199"/>
      <c r="S32" s="205"/>
      <c r="T32" s="205"/>
      <c r="U32" s="214"/>
      <c r="V32" s="214"/>
      <c r="W32" s="214"/>
      <c r="X32" s="214"/>
      <c r="Y32" s="214"/>
      <c r="Z32" s="214"/>
      <c r="AA32" s="214"/>
    </row>
    <row r="33" spans="9:30">
      <c r="I33" s="221" t="s">
        <v>529</v>
      </c>
      <c r="J33" s="213"/>
      <c r="K33" s="213"/>
      <c r="L33" s="213"/>
      <c r="M33" s="213"/>
      <c r="N33" s="213"/>
      <c r="O33" s="213"/>
      <c r="P33" s="213"/>
      <c r="Q33" s="199"/>
      <c r="R33" s="199"/>
      <c r="S33" s="205"/>
      <c r="T33" s="205"/>
      <c r="U33" s="214"/>
      <c r="V33" s="214"/>
      <c r="W33" s="214"/>
      <c r="X33" s="214"/>
      <c r="Y33" s="214"/>
      <c r="Z33" s="214"/>
      <c r="AA33" s="214"/>
    </row>
    <row r="34" spans="9:30">
      <c r="I34" s="221" t="s">
        <v>530</v>
      </c>
      <c r="J34" s="213"/>
      <c r="K34" s="213"/>
      <c r="L34" s="213"/>
      <c r="M34" s="213"/>
      <c r="N34" s="213"/>
      <c r="O34" s="213"/>
      <c r="P34" s="213"/>
      <c r="Q34" s="199"/>
      <c r="R34" s="199"/>
      <c r="S34" s="205"/>
      <c r="T34" s="205"/>
      <c r="U34" s="214"/>
      <c r="V34" s="214"/>
      <c r="W34" s="214"/>
      <c r="X34" s="214"/>
      <c r="Y34" s="214"/>
      <c r="Z34" s="214"/>
      <c r="AA34" s="214"/>
    </row>
    <row r="35" spans="9:30" s="204" customFormat="1">
      <c r="J35" s="214"/>
      <c r="K35" s="214"/>
      <c r="L35" s="214"/>
      <c r="M35" s="214"/>
      <c r="N35" s="214"/>
      <c r="O35" s="214"/>
      <c r="P35" s="214"/>
      <c r="Q35" s="205"/>
      <c r="R35" s="205"/>
      <c r="S35" s="205"/>
      <c r="T35" s="205"/>
      <c r="U35" s="214"/>
      <c r="V35" s="214"/>
      <c r="W35" s="214"/>
      <c r="X35" s="214"/>
      <c r="Y35" s="214"/>
      <c r="Z35" s="214"/>
      <c r="AA35" s="214"/>
      <c r="AB35" s="214"/>
    </row>
    <row r="36" spans="9:30" s="204" customFormat="1">
      <c r="J36" s="214"/>
      <c r="K36" s="214"/>
      <c r="L36" s="214"/>
      <c r="M36" s="214"/>
      <c r="N36" s="214"/>
      <c r="O36" s="214"/>
      <c r="P36" s="205"/>
      <c r="Q36" s="205"/>
      <c r="R36" s="205"/>
      <c r="S36" s="205"/>
      <c r="T36" s="205"/>
      <c r="U36" s="205"/>
      <c r="V36" s="205"/>
      <c r="W36" s="205"/>
    </row>
    <row r="37" spans="9:30" ht="15">
      <c r="I37" s="219" t="s">
        <v>12</v>
      </c>
      <c r="J37" s="210" t="s">
        <v>2</v>
      </c>
      <c r="K37" s="210" t="s">
        <v>22</v>
      </c>
      <c r="L37" s="210" t="s">
        <v>25</v>
      </c>
      <c r="M37" s="210" t="s">
        <v>44</v>
      </c>
      <c r="N37" s="210" t="s">
        <v>55</v>
      </c>
      <c r="O37" s="210" t="s">
        <v>70</v>
      </c>
      <c r="P37" s="210" t="s">
        <v>72</v>
      </c>
      <c r="Q37" s="210">
        <v>2009</v>
      </c>
      <c r="R37" s="210">
        <v>2013</v>
      </c>
      <c r="S37" s="216" t="s">
        <v>602</v>
      </c>
      <c r="T37" s="211"/>
      <c r="U37" s="201"/>
      <c r="V37" s="201"/>
      <c r="W37" s="201"/>
    </row>
    <row r="38" spans="9:30">
      <c r="I38" s="221" t="s">
        <v>6</v>
      </c>
      <c r="J38" s="213">
        <v>32</v>
      </c>
      <c r="K38" s="213">
        <v>33</v>
      </c>
      <c r="L38" s="213">
        <v>32</v>
      </c>
      <c r="M38" s="213">
        <v>37</v>
      </c>
      <c r="N38" s="213">
        <v>37</v>
      </c>
      <c r="O38" s="213">
        <f>36+4</f>
        <v>40</v>
      </c>
      <c r="P38" s="213">
        <v>40</v>
      </c>
      <c r="Q38" s="222">
        <v>59</v>
      </c>
      <c r="R38" s="222">
        <v>61</v>
      </c>
      <c r="S38" s="223">
        <f>R38/P38-1</f>
        <v>0.52499999999999991</v>
      </c>
      <c r="T38" s="224"/>
      <c r="U38" s="201"/>
      <c r="V38" s="201"/>
      <c r="W38" s="201"/>
    </row>
    <row r="39" spans="9:30">
      <c r="I39" s="221" t="s">
        <v>5</v>
      </c>
      <c r="J39" s="213">
        <v>10</v>
      </c>
      <c r="K39" s="213">
        <v>14</v>
      </c>
      <c r="L39" s="213">
        <v>19</v>
      </c>
      <c r="M39" s="213">
        <v>17</v>
      </c>
      <c r="N39" s="213">
        <v>16</v>
      </c>
      <c r="O39" s="213">
        <v>15</v>
      </c>
      <c r="P39" s="213">
        <v>15</v>
      </c>
      <c r="Q39" s="213">
        <v>24</v>
      </c>
      <c r="R39" s="222">
        <v>32</v>
      </c>
      <c r="S39" s="223">
        <f t="shared" ref="S39:S41" si="4">R39/P39-1</f>
        <v>1.1333333333333333</v>
      </c>
      <c r="T39" s="224"/>
      <c r="U39" s="201"/>
      <c r="V39" s="201"/>
      <c r="W39" s="201"/>
    </row>
    <row r="40" spans="9:30">
      <c r="I40" s="221" t="s">
        <v>13</v>
      </c>
      <c r="J40" s="213">
        <v>13</v>
      </c>
      <c r="K40" s="213">
        <v>24</v>
      </c>
      <c r="L40" s="213">
        <v>18</v>
      </c>
      <c r="M40" s="213">
        <v>31</v>
      </c>
      <c r="N40" s="213">
        <v>31</v>
      </c>
      <c r="O40" s="213">
        <v>37</v>
      </c>
      <c r="P40" s="213">
        <v>35</v>
      </c>
      <c r="Q40" s="213">
        <v>41</v>
      </c>
      <c r="R40" s="222">
        <v>41</v>
      </c>
      <c r="S40" s="223">
        <f t="shared" si="4"/>
        <v>0.17142857142857149</v>
      </c>
      <c r="T40" s="224"/>
      <c r="U40" s="201"/>
      <c r="V40" s="201"/>
      <c r="W40" s="201"/>
    </row>
    <row r="41" spans="9:30">
      <c r="I41" s="221" t="s">
        <v>515</v>
      </c>
      <c r="J41" s="213">
        <v>12</v>
      </c>
      <c r="K41" s="213">
        <v>8</v>
      </c>
      <c r="L41" s="213">
        <v>12</v>
      </c>
      <c r="M41" s="213">
        <v>9</v>
      </c>
      <c r="N41" s="213">
        <v>9</v>
      </c>
      <c r="O41" s="213">
        <v>7</v>
      </c>
      <c r="P41" s="213">
        <v>7</v>
      </c>
      <c r="Q41" s="213">
        <v>6</v>
      </c>
      <c r="R41" s="222">
        <v>9</v>
      </c>
      <c r="S41" s="223">
        <f t="shared" si="4"/>
        <v>0.28571428571428581</v>
      </c>
      <c r="T41" s="224"/>
      <c r="U41" s="225"/>
      <c r="V41" s="201"/>
      <c r="W41" s="201"/>
    </row>
    <row r="42" spans="9:30" ht="15">
      <c r="I42" s="219" t="s">
        <v>220</v>
      </c>
      <c r="J42" s="216">
        <f t="shared" ref="J42:P42" si="5">SUM(J38:J41)</f>
        <v>67</v>
      </c>
      <c r="K42" s="216">
        <f t="shared" si="5"/>
        <v>79</v>
      </c>
      <c r="L42" s="216">
        <f t="shared" si="5"/>
        <v>81</v>
      </c>
      <c r="M42" s="216">
        <f t="shared" si="5"/>
        <v>94</v>
      </c>
      <c r="N42" s="216">
        <f t="shared" si="5"/>
        <v>93</v>
      </c>
      <c r="O42" s="216">
        <f t="shared" si="5"/>
        <v>99</v>
      </c>
      <c r="P42" s="216">
        <f t="shared" si="5"/>
        <v>97</v>
      </c>
      <c r="Q42" s="220">
        <f t="shared" ref="Q42" si="6">SUM(Q38:Q41)</f>
        <v>130</v>
      </c>
      <c r="R42" s="220">
        <f>SUM(R38:R41)</f>
        <v>143</v>
      </c>
      <c r="S42" s="199"/>
      <c r="T42" s="224"/>
      <c r="U42" s="226"/>
      <c r="V42" s="226"/>
      <c r="W42" s="226"/>
    </row>
    <row r="43" spans="9:30" s="204" customFormat="1" ht="15">
      <c r="I43" s="219" t="s">
        <v>604</v>
      </c>
      <c r="J43" s="216"/>
      <c r="K43" s="216"/>
      <c r="L43" s="216"/>
      <c r="M43" s="216"/>
      <c r="N43" s="216"/>
      <c r="O43" s="216"/>
      <c r="P43" s="216"/>
      <c r="Q43" s="227"/>
      <c r="R43" s="227"/>
      <c r="S43" s="220"/>
      <c r="T43" s="224"/>
      <c r="U43" s="224"/>
      <c r="V43" s="224"/>
      <c r="W43" s="224"/>
    </row>
    <row r="44" spans="9:30" s="204" customFormat="1">
      <c r="J44" s="214"/>
      <c r="K44" s="214"/>
      <c r="L44" s="214"/>
      <c r="M44" s="214"/>
      <c r="N44" s="214"/>
      <c r="O44" s="214"/>
      <c r="P44" s="214"/>
      <c r="Q44" s="205"/>
      <c r="R44" s="205"/>
      <c r="S44" s="205"/>
      <c r="T44" s="205"/>
      <c r="U44" s="214"/>
      <c r="V44" s="214"/>
      <c r="W44" s="214"/>
      <c r="X44" s="214"/>
      <c r="Y44" s="214"/>
      <c r="Z44" s="214"/>
      <c r="AA44" s="214"/>
      <c r="AB44" s="214"/>
    </row>
    <row r="45" spans="9:30" ht="15">
      <c r="I45" s="219" t="s">
        <v>531</v>
      </c>
      <c r="J45" s="213"/>
      <c r="K45" s="213"/>
      <c r="L45" s="213"/>
      <c r="M45" s="213"/>
      <c r="N45" s="213"/>
      <c r="O45" s="213"/>
      <c r="P45" s="210" t="s">
        <v>72</v>
      </c>
      <c r="Q45" s="210">
        <v>2009</v>
      </c>
      <c r="R45" s="210">
        <v>2013</v>
      </c>
      <c r="S45" s="224"/>
      <c r="T45" s="224"/>
      <c r="U45" s="224"/>
      <c r="V45" s="224"/>
      <c r="W45" s="224"/>
      <c r="X45" s="224"/>
      <c r="Y45" s="224"/>
      <c r="Z45" s="224"/>
      <c r="AA45" s="224"/>
      <c r="AB45" s="226"/>
      <c r="AC45" s="226"/>
      <c r="AD45" s="226"/>
    </row>
    <row r="46" spans="9:30" ht="12" customHeight="1">
      <c r="I46" s="221" t="s">
        <v>43</v>
      </c>
      <c r="J46" s="213"/>
      <c r="K46" s="213"/>
      <c r="L46" s="213"/>
      <c r="M46" s="213"/>
      <c r="N46" s="213"/>
      <c r="O46" s="213"/>
      <c r="P46" s="213">
        <v>35</v>
      </c>
      <c r="Q46" s="213">
        <v>48</v>
      </c>
      <c r="R46" s="222">
        <v>52</v>
      </c>
      <c r="S46" s="224"/>
      <c r="T46" s="224"/>
      <c r="U46" s="224"/>
      <c r="V46" s="224"/>
      <c r="W46" s="224"/>
      <c r="X46" s="224"/>
      <c r="Y46" s="204"/>
      <c r="Z46" s="224"/>
      <c r="AA46" s="224"/>
      <c r="AB46" s="226"/>
      <c r="AC46" s="226"/>
      <c r="AD46" s="226"/>
    </row>
    <row r="47" spans="9:30" ht="12" customHeight="1">
      <c r="I47" s="221" t="s">
        <v>605</v>
      </c>
      <c r="J47" s="213"/>
      <c r="K47" s="213"/>
      <c r="L47" s="213"/>
      <c r="M47" s="213"/>
      <c r="N47" s="213"/>
      <c r="O47" s="213"/>
      <c r="P47" s="213">
        <v>57</v>
      </c>
      <c r="Q47" s="213">
        <v>113</v>
      </c>
      <c r="R47" s="222">
        <v>130</v>
      </c>
      <c r="S47" s="224"/>
      <c r="T47" s="224"/>
      <c r="U47" s="224"/>
      <c r="V47" s="224"/>
      <c r="W47" s="224"/>
      <c r="X47" s="224"/>
      <c r="Y47" s="204"/>
      <c r="Z47" s="224"/>
      <c r="AA47" s="224"/>
      <c r="AB47" s="226"/>
      <c r="AC47" s="226"/>
      <c r="AD47" s="226"/>
    </row>
    <row r="48" spans="9:30" ht="12" customHeight="1">
      <c r="I48" s="219" t="s">
        <v>606</v>
      </c>
      <c r="J48" s="216"/>
      <c r="K48" s="216"/>
      <c r="L48" s="216"/>
      <c r="M48" s="216"/>
      <c r="N48" s="216"/>
      <c r="O48" s="216"/>
      <c r="P48" s="228">
        <f t="shared" ref="P48:Q48" si="7">P47/P46</f>
        <v>1.6285714285714286</v>
      </c>
      <c r="Q48" s="228">
        <f t="shared" si="7"/>
        <v>2.3541666666666665</v>
      </c>
      <c r="R48" s="228">
        <f>R47/R46</f>
        <v>2.5</v>
      </c>
      <c r="S48" s="216" t="s">
        <v>602</v>
      </c>
      <c r="T48" s="224"/>
      <c r="U48" s="224"/>
      <c r="V48" s="224"/>
      <c r="W48" s="224"/>
      <c r="X48" s="224"/>
      <c r="Y48" s="204"/>
      <c r="Z48" s="224"/>
      <c r="AA48" s="224"/>
      <c r="AB48" s="226"/>
      <c r="AC48" s="226"/>
      <c r="AD48" s="226"/>
    </row>
    <row r="49" spans="9:30" s="204" customFormat="1" ht="15">
      <c r="I49" s="221" t="s">
        <v>604</v>
      </c>
      <c r="J49" s="213"/>
      <c r="K49" s="213"/>
      <c r="L49" s="213"/>
      <c r="M49" s="213"/>
      <c r="N49" s="213"/>
      <c r="O49" s="213"/>
      <c r="P49" s="213"/>
      <c r="Q49" s="217">
        <f>Q47/P47-1</f>
        <v>0.98245614035087714</v>
      </c>
      <c r="R49" s="217">
        <f>R47/Q47-1</f>
        <v>0.15044247787610621</v>
      </c>
      <c r="S49" s="217">
        <f>R47/P47-1</f>
        <v>1.2807017543859649</v>
      </c>
      <c r="T49" s="205"/>
      <c r="U49" s="214"/>
      <c r="V49" s="214"/>
      <c r="W49" s="214"/>
      <c r="AA49" s="229"/>
    </row>
    <row r="50" spans="9:30" s="204" customFormat="1">
      <c r="J50" s="214"/>
      <c r="K50" s="214"/>
      <c r="L50" s="214"/>
      <c r="M50" s="214"/>
      <c r="N50" s="214"/>
      <c r="O50" s="214"/>
      <c r="P50" s="205"/>
      <c r="Q50" s="205"/>
      <c r="R50" s="205"/>
      <c r="S50" s="230"/>
      <c r="T50" s="230"/>
      <c r="U50" s="230"/>
      <c r="V50" s="230"/>
      <c r="W50" s="230"/>
      <c r="X50" s="231"/>
      <c r="Y50" s="231"/>
      <c r="Z50" s="231"/>
      <c r="AA50" s="231"/>
      <c r="AB50" s="231"/>
      <c r="AC50" s="231"/>
      <c r="AD50" s="231"/>
    </row>
    <row r="51" spans="9:30" ht="15">
      <c r="I51" s="219" t="s">
        <v>33</v>
      </c>
      <c r="J51" s="220" t="s">
        <v>2</v>
      </c>
      <c r="K51" s="220" t="s">
        <v>22</v>
      </c>
      <c r="L51" s="220" t="s">
        <v>25</v>
      </c>
      <c r="M51" s="220" t="s">
        <v>44</v>
      </c>
      <c r="N51" s="220" t="s">
        <v>55</v>
      </c>
      <c r="O51" s="220" t="s">
        <v>70</v>
      </c>
      <c r="P51" s="220" t="s">
        <v>72</v>
      </c>
      <c r="Q51" s="210">
        <v>2009</v>
      </c>
      <c r="R51" s="210">
        <v>2013</v>
      </c>
      <c r="S51" s="211"/>
      <c r="T51" s="211"/>
      <c r="U51" s="225"/>
      <c r="V51" s="225"/>
      <c r="W51" s="201"/>
    </row>
    <row r="52" spans="9:30">
      <c r="I52" s="221" t="s">
        <v>33</v>
      </c>
      <c r="J52" s="213">
        <v>20</v>
      </c>
      <c r="K52" s="213">
        <v>22</v>
      </c>
      <c r="L52" s="213">
        <v>20</v>
      </c>
      <c r="M52" s="213">
        <v>21</v>
      </c>
      <c r="N52" s="213">
        <v>25</v>
      </c>
      <c r="O52" s="213">
        <v>29</v>
      </c>
      <c r="P52" s="213">
        <v>34</v>
      </c>
      <c r="Q52" s="213">
        <v>46</v>
      </c>
      <c r="R52" s="213">
        <v>52</v>
      </c>
      <c r="S52" s="214"/>
      <c r="T52" s="214"/>
      <c r="U52" s="225"/>
      <c r="V52" s="225"/>
      <c r="W52" s="225"/>
    </row>
    <row r="53" spans="9:30">
      <c r="I53" s="221" t="s">
        <v>63</v>
      </c>
      <c r="J53" s="213">
        <f t="shared" ref="J53:O53" si="8">J29</f>
        <v>33</v>
      </c>
      <c r="K53" s="213">
        <f t="shared" si="8"/>
        <v>35</v>
      </c>
      <c r="L53" s="213">
        <f t="shared" si="8"/>
        <v>33</v>
      </c>
      <c r="M53" s="213">
        <f t="shared" si="8"/>
        <v>38</v>
      </c>
      <c r="N53" s="213">
        <f t="shared" si="8"/>
        <v>37</v>
      </c>
      <c r="O53" s="213">
        <f t="shared" si="8"/>
        <v>36</v>
      </c>
      <c r="P53" s="199">
        <v>35</v>
      </c>
      <c r="Q53" s="213">
        <v>48</v>
      </c>
      <c r="R53" s="213">
        <v>52</v>
      </c>
      <c r="S53" s="214"/>
      <c r="T53" s="214"/>
      <c r="U53" s="232"/>
      <c r="V53" s="232"/>
      <c r="W53" s="232"/>
    </row>
    <row r="54" spans="9:30" ht="15">
      <c r="I54" s="221" t="s">
        <v>115</v>
      </c>
      <c r="J54" s="233">
        <f>J52/J53</f>
        <v>0.60606060606060608</v>
      </c>
      <c r="K54" s="233">
        <f t="shared" ref="K54:P54" si="9">K52/K53</f>
        <v>0.62857142857142856</v>
      </c>
      <c r="L54" s="233">
        <f t="shared" si="9"/>
        <v>0.60606060606060608</v>
      </c>
      <c r="M54" s="233">
        <f t="shared" si="9"/>
        <v>0.55263157894736847</v>
      </c>
      <c r="N54" s="233">
        <f t="shared" si="9"/>
        <v>0.67567567567567566</v>
      </c>
      <c r="O54" s="233">
        <f t="shared" si="9"/>
        <v>0.80555555555555558</v>
      </c>
      <c r="P54" s="233">
        <f t="shared" si="9"/>
        <v>0.97142857142857142</v>
      </c>
      <c r="Q54" s="233">
        <f>Q52/Q53</f>
        <v>0.95833333333333337</v>
      </c>
      <c r="R54" s="233">
        <v>1</v>
      </c>
      <c r="S54" s="234"/>
      <c r="T54" s="234"/>
      <c r="U54" s="201"/>
      <c r="V54" s="201"/>
      <c r="W54" s="201"/>
    </row>
    <row r="55" spans="9:30">
      <c r="S55" s="205"/>
      <c r="T55" s="205"/>
      <c r="U55" s="205"/>
      <c r="V55" s="214"/>
      <c r="W55" s="214"/>
      <c r="X55" s="235"/>
    </row>
    <row r="56" spans="9:30" s="204" customFormat="1">
      <c r="J56" s="214"/>
      <c r="K56" s="214"/>
      <c r="L56" s="214"/>
      <c r="M56" s="214"/>
      <c r="N56" s="214"/>
      <c r="O56" s="214"/>
      <c r="P56" s="205"/>
      <c r="Q56" s="205"/>
      <c r="R56" s="205"/>
      <c r="S56" s="205"/>
      <c r="T56" s="205"/>
      <c r="U56" s="205"/>
      <c r="V56" s="214"/>
      <c r="W56" s="214"/>
      <c r="X56" s="229"/>
      <c r="Y56" s="229"/>
      <c r="Z56" s="229"/>
      <c r="AA56" s="229"/>
      <c r="AB56" s="229"/>
    </row>
    <row r="57" spans="9:30" ht="12.75" customHeight="1">
      <c r="I57" s="219" t="s">
        <v>75</v>
      </c>
      <c r="J57" s="220" t="s">
        <v>2</v>
      </c>
      <c r="K57" s="220" t="s">
        <v>22</v>
      </c>
      <c r="L57" s="236" t="s">
        <v>25</v>
      </c>
      <c r="M57" s="236" t="s">
        <v>44</v>
      </c>
      <c r="N57" s="236" t="s">
        <v>55</v>
      </c>
      <c r="O57" s="236" t="s">
        <v>70</v>
      </c>
      <c r="P57" s="236" t="s">
        <v>72</v>
      </c>
      <c r="Q57" s="236">
        <v>2009</v>
      </c>
      <c r="R57" s="210">
        <v>2013</v>
      </c>
      <c r="S57" s="211"/>
      <c r="T57" s="211"/>
      <c r="U57" s="201"/>
      <c r="V57" s="201"/>
      <c r="W57" s="201"/>
    </row>
    <row r="58" spans="9:30">
      <c r="I58" s="221" t="s">
        <v>58</v>
      </c>
      <c r="J58" s="199">
        <v>1</v>
      </c>
      <c r="K58" s="213">
        <v>1</v>
      </c>
      <c r="L58" s="199">
        <v>1</v>
      </c>
      <c r="M58" s="199">
        <v>1</v>
      </c>
      <c r="N58" s="199">
        <v>1</v>
      </c>
      <c r="O58" s="199">
        <v>1</v>
      </c>
      <c r="P58" s="199">
        <v>1</v>
      </c>
      <c r="Q58" s="237">
        <v>6</v>
      </c>
      <c r="R58" s="213">
        <v>6</v>
      </c>
      <c r="S58" s="214"/>
      <c r="T58" s="214"/>
      <c r="U58" s="238"/>
      <c r="V58" s="201"/>
      <c r="W58" s="201"/>
    </row>
    <row r="59" spans="9:30">
      <c r="I59" s="221" t="s">
        <v>57</v>
      </c>
      <c r="J59" s="199">
        <v>1</v>
      </c>
      <c r="K59" s="213">
        <v>1</v>
      </c>
      <c r="L59" s="199">
        <v>3</v>
      </c>
      <c r="M59" s="199">
        <v>4</v>
      </c>
      <c r="N59" s="199">
        <v>5</v>
      </c>
      <c r="O59" s="199">
        <v>4</v>
      </c>
      <c r="P59" s="199">
        <v>5</v>
      </c>
      <c r="Q59" s="237">
        <v>7</v>
      </c>
      <c r="R59" s="213">
        <v>16</v>
      </c>
      <c r="S59" s="214"/>
      <c r="T59" s="214"/>
      <c r="U59" s="238"/>
      <c r="V59" s="201"/>
      <c r="W59" s="201"/>
    </row>
    <row r="60" spans="9:30" ht="15">
      <c r="I60" s="221" t="s">
        <v>56</v>
      </c>
      <c r="J60" s="199">
        <v>7</v>
      </c>
      <c r="K60" s="213">
        <v>10</v>
      </c>
      <c r="L60" s="199">
        <v>10</v>
      </c>
      <c r="M60" s="199">
        <v>12</v>
      </c>
      <c r="N60" s="199">
        <v>14</v>
      </c>
      <c r="O60" s="199">
        <v>19</v>
      </c>
      <c r="P60" s="199">
        <v>22</v>
      </c>
      <c r="Q60" s="237">
        <v>28</v>
      </c>
      <c r="R60" s="213">
        <v>26</v>
      </c>
      <c r="S60" s="234"/>
      <c r="T60" s="234"/>
      <c r="U60" s="201"/>
      <c r="V60" s="201"/>
      <c r="W60" s="201"/>
    </row>
    <row r="61" spans="9:30" ht="15">
      <c r="I61" s="221" t="s">
        <v>46</v>
      </c>
      <c r="J61" s="199">
        <v>8</v>
      </c>
      <c r="K61" s="213">
        <v>8</v>
      </c>
      <c r="L61" s="199">
        <v>6</v>
      </c>
      <c r="M61" s="199">
        <v>4</v>
      </c>
      <c r="N61" s="199">
        <v>5</v>
      </c>
      <c r="O61" s="199">
        <v>5</v>
      </c>
      <c r="P61" s="239">
        <v>6</v>
      </c>
      <c r="Q61" s="237">
        <v>5</v>
      </c>
      <c r="R61" s="213">
        <v>4</v>
      </c>
      <c r="S61" s="234"/>
      <c r="T61" s="234"/>
      <c r="U61" s="238"/>
      <c r="V61" s="201"/>
      <c r="W61" s="201"/>
    </row>
    <row r="62" spans="9:30" ht="15">
      <c r="I62" s="221" t="s">
        <v>45</v>
      </c>
      <c r="J62" s="236">
        <f t="shared" ref="J62:P62" si="10">SUM(J58:J61)</f>
        <v>17</v>
      </c>
      <c r="K62" s="236">
        <f t="shared" si="10"/>
        <v>20</v>
      </c>
      <c r="L62" s="236">
        <f t="shared" si="10"/>
        <v>20</v>
      </c>
      <c r="M62" s="236">
        <f t="shared" si="10"/>
        <v>21</v>
      </c>
      <c r="N62" s="236">
        <f t="shared" si="10"/>
        <v>25</v>
      </c>
      <c r="O62" s="236">
        <f t="shared" si="10"/>
        <v>29</v>
      </c>
      <c r="P62" s="236">
        <f t="shared" si="10"/>
        <v>34</v>
      </c>
      <c r="Q62" s="240">
        <f t="shared" ref="Q62" si="11">SUM(Q58:Q61)</f>
        <v>46</v>
      </c>
      <c r="R62" s="216">
        <f>SUM(R58:R61)</f>
        <v>52</v>
      </c>
      <c r="S62" s="234"/>
      <c r="T62" s="234"/>
      <c r="U62" s="201"/>
      <c r="V62" s="201"/>
      <c r="W62" s="201"/>
    </row>
    <row r="63" spans="9:30" s="204" customFormat="1">
      <c r="I63" s="204" t="s">
        <v>345</v>
      </c>
      <c r="J63" s="205"/>
      <c r="K63" s="205"/>
      <c r="L63" s="205"/>
      <c r="M63" s="205"/>
      <c r="N63" s="205"/>
      <c r="O63" s="214"/>
      <c r="P63" s="241"/>
      <c r="Q63" s="242"/>
      <c r="R63" s="242"/>
      <c r="S63" s="242"/>
      <c r="T63" s="242"/>
      <c r="U63" s="205"/>
      <c r="V63" s="214"/>
      <c r="W63" s="214"/>
      <c r="X63" s="229"/>
      <c r="Y63" s="229"/>
      <c r="Z63" s="229"/>
    </row>
    <row r="64" spans="9:30" s="204" customFormat="1">
      <c r="J64" s="205"/>
      <c r="K64" s="205"/>
      <c r="L64" s="205"/>
      <c r="M64" s="205"/>
      <c r="N64" s="205"/>
      <c r="O64" s="214"/>
      <c r="P64" s="241"/>
      <c r="Q64" s="242"/>
      <c r="R64" s="242"/>
      <c r="S64" s="242"/>
      <c r="T64" s="242"/>
      <c r="U64" s="205"/>
      <c r="V64" s="214"/>
      <c r="W64" s="214"/>
      <c r="X64" s="229"/>
      <c r="Y64" s="229"/>
      <c r="Z64" s="229"/>
    </row>
    <row r="65" spans="9:26" s="204" customFormat="1" ht="15">
      <c r="I65" s="219" t="s">
        <v>532</v>
      </c>
      <c r="J65" s="213"/>
      <c r="K65" s="213"/>
      <c r="L65" s="213"/>
      <c r="M65" s="213"/>
      <c r="N65" s="213"/>
      <c r="O65" s="213"/>
      <c r="P65" s="236">
        <v>2004</v>
      </c>
      <c r="Q65" s="236">
        <v>2009</v>
      </c>
      <c r="R65" s="236">
        <v>2013</v>
      </c>
      <c r="S65" s="231"/>
      <c r="T65" s="231"/>
      <c r="U65" s="231"/>
      <c r="V65" s="231"/>
      <c r="W65" s="231"/>
    </row>
    <row r="66" spans="9:26">
      <c r="I66" s="221" t="s">
        <v>58</v>
      </c>
      <c r="J66" s="213"/>
      <c r="K66" s="213"/>
      <c r="L66" s="213"/>
      <c r="M66" s="213"/>
      <c r="N66" s="213"/>
      <c r="O66" s="213"/>
      <c r="P66" s="213">
        <v>0</v>
      </c>
      <c r="Q66" s="213">
        <v>0</v>
      </c>
      <c r="R66" s="213">
        <v>0</v>
      </c>
      <c r="S66" s="214"/>
      <c r="T66" s="214"/>
      <c r="U66" s="225"/>
      <c r="V66" s="225"/>
      <c r="W66" s="225"/>
    </row>
    <row r="67" spans="9:26">
      <c r="I67" s="221" t="s">
        <v>533</v>
      </c>
      <c r="J67" s="213"/>
      <c r="K67" s="213"/>
      <c r="L67" s="213"/>
      <c r="M67" s="213"/>
      <c r="N67" s="213"/>
      <c r="O67" s="213"/>
      <c r="P67" s="213">
        <v>0</v>
      </c>
      <c r="Q67" s="213">
        <v>1</v>
      </c>
      <c r="R67" s="213">
        <v>0</v>
      </c>
      <c r="S67" s="214"/>
      <c r="T67" s="214"/>
      <c r="U67" s="225"/>
      <c r="V67" s="225"/>
      <c r="W67" s="225"/>
    </row>
    <row r="68" spans="9:26">
      <c r="I68" s="221" t="s">
        <v>56</v>
      </c>
      <c r="J68" s="213"/>
      <c r="K68" s="213"/>
      <c r="L68" s="213"/>
      <c r="M68" s="213"/>
      <c r="N68" s="213"/>
      <c r="O68" s="213"/>
      <c r="P68" s="213">
        <v>0</v>
      </c>
      <c r="Q68" s="213">
        <v>5</v>
      </c>
      <c r="R68" s="213">
        <v>8</v>
      </c>
      <c r="S68" s="214"/>
      <c r="T68" s="214"/>
      <c r="U68" s="225"/>
      <c r="V68" s="225"/>
      <c r="W68" s="225"/>
    </row>
    <row r="69" spans="9:26">
      <c r="I69" s="221" t="s">
        <v>534</v>
      </c>
      <c r="J69" s="213"/>
      <c r="K69" s="213"/>
      <c r="L69" s="213"/>
      <c r="M69" s="213"/>
      <c r="N69" s="213"/>
      <c r="O69" s="213"/>
      <c r="P69" s="213">
        <v>4</v>
      </c>
      <c r="Q69" s="213">
        <v>4</v>
      </c>
      <c r="R69" s="213">
        <v>0</v>
      </c>
      <c r="S69" s="214"/>
      <c r="T69" s="214"/>
      <c r="U69" s="225"/>
      <c r="V69" s="225"/>
      <c r="W69" s="225"/>
    </row>
    <row r="70" spans="9:26" ht="15">
      <c r="I70" s="219" t="s">
        <v>21</v>
      </c>
      <c r="J70" s="216"/>
      <c r="K70" s="216"/>
      <c r="L70" s="216"/>
      <c r="M70" s="216"/>
      <c r="N70" s="216"/>
      <c r="O70" s="216"/>
      <c r="P70" s="216">
        <f>SUM(P66:P69)</f>
        <v>4</v>
      </c>
      <c r="Q70" s="216">
        <f t="shared" ref="Q70" si="12">SUM(Q66:Q69)</f>
        <v>10</v>
      </c>
      <c r="R70" s="216">
        <v>8</v>
      </c>
      <c r="S70" s="214"/>
      <c r="T70" s="214"/>
      <c r="U70" s="225"/>
      <c r="V70" s="225"/>
      <c r="W70" s="225"/>
    </row>
    <row r="71" spans="9:26">
      <c r="I71" s="221" t="s">
        <v>535</v>
      </c>
      <c r="J71" s="213"/>
      <c r="K71" s="213"/>
      <c r="L71" s="213"/>
      <c r="M71" s="213"/>
      <c r="N71" s="213"/>
      <c r="O71" s="213"/>
      <c r="P71" s="213"/>
      <c r="Q71" s="213"/>
      <c r="R71" s="213"/>
      <c r="S71" s="214"/>
      <c r="T71" s="214"/>
      <c r="U71" s="214"/>
      <c r="V71" s="214"/>
      <c r="W71" s="214"/>
      <c r="X71" s="225"/>
      <c r="Y71" s="225"/>
      <c r="Z71" s="225"/>
    </row>
    <row r="72" spans="9:26" s="204" customFormat="1">
      <c r="J72" s="205"/>
      <c r="K72" s="205"/>
      <c r="L72" s="205"/>
      <c r="M72" s="205"/>
      <c r="N72" s="205"/>
      <c r="O72" s="214"/>
      <c r="P72" s="241"/>
      <c r="Q72" s="242"/>
      <c r="R72" s="242"/>
      <c r="S72" s="242"/>
      <c r="T72" s="242"/>
      <c r="U72" s="205"/>
      <c r="V72" s="214"/>
      <c r="W72" s="214"/>
      <c r="X72" s="229"/>
      <c r="Y72" s="229"/>
      <c r="Z72" s="229"/>
    </row>
    <row r="73" spans="9:26" s="204" customFormat="1">
      <c r="J73" s="214"/>
      <c r="K73" s="214"/>
      <c r="L73" s="214"/>
      <c r="M73" s="214"/>
      <c r="N73" s="214"/>
      <c r="O73" s="214"/>
      <c r="P73" s="205"/>
      <c r="Q73" s="205"/>
      <c r="R73" s="205"/>
      <c r="S73" s="205"/>
      <c r="T73" s="205"/>
      <c r="U73" s="214"/>
      <c r="V73" s="214"/>
      <c r="W73" s="214"/>
    </row>
    <row r="74" spans="9:26" ht="15">
      <c r="I74" s="219" t="s">
        <v>7</v>
      </c>
      <c r="J74" s="210" t="s">
        <v>2</v>
      </c>
      <c r="K74" s="210" t="s">
        <v>22</v>
      </c>
      <c r="L74" s="210" t="s">
        <v>25</v>
      </c>
      <c r="M74" s="210" t="s">
        <v>44</v>
      </c>
      <c r="N74" s="210" t="s">
        <v>55</v>
      </c>
      <c r="O74" s="210" t="s">
        <v>70</v>
      </c>
      <c r="P74" s="210" t="s">
        <v>72</v>
      </c>
      <c r="Q74" s="210">
        <v>2009</v>
      </c>
      <c r="R74" s="210">
        <v>2013</v>
      </c>
      <c r="S74" s="211"/>
      <c r="T74" s="211"/>
      <c r="U74" s="201"/>
      <c r="V74" s="201"/>
      <c r="W74" s="201"/>
    </row>
    <row r="75" spans="9:26" ht="15">
      <c r="I75" s="221" t="s">
        <v>73</v>
      </c>
      <c r="J75" s="213">
        <f t="shared" ref="J75:P75" si="13">J21+J22</f>
        <v>33</v>
      </c>
      <c r="K75" s="213">
        <f t="shared" si="13"/>
        <v>35</v>
      </c>
      <c r="L75" s="213">
        <f t="shared" si="13"/>
        <v>33</v>
      </c>
      <c r="M75" s="213">
        <f t="shared" si="13"/>
        <v>38</v>
      </c>
      <c r="N75" s="213">
        <f t="shared" si="13"/>
        <v>37</v>
      </c>
      <c r="O75" s="213">
        <f t="shared" si="13"/>
        <v>36</v>
      </c>
      <c r="P75" s="213">
        <f t="shared" si="13"/>
        <v>35</v>
      </c>
      <c r="Q75" s="213">
        <v>48</v>
      </c>
      <c r="R75" s="216">
        <v>52</v>
      </c>
      <c r="S75" s="214"/>
      <c r="T75" s="214"/>
      <c r="U75" s="201"/>
      <c r="V75" s="201"/>
      <c r="W75" s="201"/>
    </row>
    <row r="76" spans="9:26">
      <c r="I76" s="221" t="s">
        <v>9</v>
      </c>
      <c r="J76" s="213" t="e">
        <f>#REF!</f>
        <v>#REF!</v>
      </c>
      <c r="K76" s="213" t="e">
        <f>#REF!</f>
        <v>#REF!</v>
      </c>
      <c r="L76" s="213" t="e">
        <f>#REF!</f>
        <v>#REF!</v>
      </c>
      <c r="M76" s="213" t="e">
        <f>#REF!</f>
        <v>#REF!</v>
      </c>
      <c r="N76" s="213" t="e">
        <f>#REF!</f>
        <v>#REF!</v>
      </c>
      <c r="O76" s="213" t="e">
        <f>#REF!</f>
        <v>#REF!</v>
      </c>
      <c r="P76" s="213">
        <v>0</v>
      </c>
      <c r="Q76" s="213">
        <v>0</v>
      </c>
      <c r="R76" s="213">
        <v>0</v>
      </c>
      <c r="S76" s="214"/>
      <c r="T76" s="214"/>
      <c r="U76" s="201"/>
      <c r="V76" s="201"/>
      <c r="W76" s="201"/>
    </row>
    <row r="77" spans="9:26" ht="15">
      <c r="I77" s="221" t="s">
        <v>74</v>
      </c>
      <c r="J77" s="213">
        <f t="shared" ref="J77:P77" si="14">J24+J25</f>
        <v>31</v>
      </c>
      <c r="K77" s="213">
        <f t="shared" si="14"/>
        <v>42</v>
      </c>
      <c r="L77" s="213">
        <f t="shared" si="14"/>
        <v>46</v>
      </c>
      <c r="M77" s="213">
        <f t="shared" si="14"/>
        <v>54</v>
      </c>
      <c r="N77" s="213">
        <f t="shared" si="14"/>
        <v>54</v>
      </c>
      <c r="O77" s="213">
        <f t="shared" si="14"/>
        <v>63</v>
      </c>
      <c r="P77" s="213">
        <f t="shared" si="14"/>
        <v>62</v>
      </c>
      <c r="Q77" s="213">
        <v>81</v>
      </c>
      <c r="R77" s="213">
        <v>91</v>
      </c>
      <c r="S77" s="234"/>
      <c r="T77" s="234"/>
      <c r="U77" s="201"/>
      <c r="V77" s="201"/>
      <c r="W77" s="201"/>
    </row>
    <row r="78" spans="9:26" ht="15">
      <c r="I78" s="221" t="s">
        <v>21</v>
      </c>
      <c r="J78" s="213" t="e">
        <f t="shared" ref="J78:Q78" si="15">SUM(J75:J77)</f>
        <v>#REF!</v>
      </c>
      <c r="K78" s="213" t="e">
        <f t="shared" si="15"/>
        <v>#REF!</v>
      </c>
      <c r="L78" s="213" t="e">
        <f t="shared" si="15"/>
        <v>#REF!</v>
      </c>
      <c r="M78" s="213" t="e">
        <f t="shared" si="15"/>
        <v>#REF!</v>
      </c>
      <c r="N78" s="213" t="e">
        <f t="shared" si="15"/>
        <v>#REF!</v>
      </c>
      <c r="O78" s="213" t="e">
        <f t="shared" si="15"/>
        <v>#REF!</v>
      </c>
      <c r="P78" s="213">
        <f t="shared" si="15"/>
        <v>97</v>
      </c>
      <c r="Q78" s="199">
        <f t="shared" si="15"/>
        <v>129</v>
      </c>
      <c r="R78" s="213">
        <f>SUM(R75:R77)</f>
        <v>143</v>
      </c>
      <c r="S78" s="234"/>
      <c r="T78" s="234"/>
      <c r="U78" s="201"/>
      <c r="V78" s="201"/>
      <c r="W78" s="201"/>
    </row>
    <row r="79" spans="9:26" ht="15">
      <c r="I79" s="221" t="s">
        <v>341</v>
      </c>
      <c r="J79" s="243">
        <f t="shared" ref="J79:Q79" si="16">J77/J75</f>
        <v>0.93939393939393945</v>
      </c>
      <c r="K79" s="243">
        <f t="shared" si="16"/>
        <v>1.2</v>
      </c>
      <c r="L79" s="243">
        <f t="shared" si="16"/>
        <v>1.393939393939394</v>
      </c>
      <c r="M79" s="243">
        <f t="shared" si="16"/>
        <v>1.4210526315789473</v>
      </c>
      <c r="N79" s="243">
        <f t="shared" si="16"/>
        <v>1.4594594594594594</v>
      </c>
      <c r="O79" s="243">
        <f t="shared" si="16"/>
        <v>1.75</v>
      </c>
      <c r="P79" s="243">
        <f t="shared" si="16"/>
        <v>1.7714285714285714</v>
      </c>
      <c r="Q79" s="244">
        <f t="shared" si="16"/>
        <v>1.6875</v>
      </c>
      <c r="R79" s="244">
        <f>R77/R75</f>
        <v>1.75</v>
      </c>
      <c r="S79" s="234"/>
      <c r="T79" s="234"/>
      <c r="U79" s="201"/>
      <c r="V79" s="201"/>
      <c r="W79" s="201"/>
    </row>
    <row r="80" spans="9:26" s="204" customFormat="1" ht="15">
      <c r="J80" s="245"/>
      <c r="K80" s="245"/>
      <c r="L80" s="245"/>
      <c r="M80" s="245"/>
      <c r="N80" s="245"/>
      <c r="O80" s="245"/>
      <c r="P80" s="245"/>
      <c r="Q80" s="245"/>
      <c r="R80" s="245"/>
      <c r="S80" s="246"/>
      <c r="T80" s="246"/>
      <c r="U80" s="246"/>
      <c r="V80" s="246"/>
      <c r="W80" s="246"/>
      <c r="X80" s="214"/>
    </row>
    <row r="81" spans="9:27"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</row>
    <row r="82" spans="9:27" s="204" customFormat="1">
      <c r="J82" s="247"/>
      <c r="K82" s="247"/>
      <c r="L82" s="247"/>
      <c r="M82" s="247"/>
      <c r="N82" s="247"/>
      <c r="O82" s="247"/>
      <c r="P82" s="247"/>
      <c r="Q82" s="247"/>
      <c r="R82" s="205"/>
      <c r="S82" s="205"/>
      <c r="T82" s="205"/>
      <c r="U82" s="205"/>
      <c r="V82" s="205"/>
      <c r="W82" s="205"/>
      <c r="X82" s="205"/>
      <c r="Y82" s="205"/>
      <c r="Z82" s="205"/>
      <c r="AA82" s="205"/>
    </row>
    <row r="83" spans="9:27" s="204" customFormat="1" ht="30">
      <c r="I83" s="248" t="s">
        <v>596</v>
      </c>
      <c r="J83" s="249" t="s">
        <v>2</v>
      </c>
      <c r="K83" s="249" t="s">
        <v>22</v>
      </c>
      <c r="L83" s="249" t="s">
        <v>25</v>
      </c>
      <c r="M83" s="249" t="s">
        <v>44</v>
      </c>
      <c r="N83" s="249" t="s">
        <v>55</v>
      </c>
      <c r="O83" s="249" t="s">
        <v>70</v>
      </c>
      <c r="P83" s="249" t="s">
        <v>72</v>
      </c>
      <c r="Q83" s="250">
        <v>2009</v>
      </c>
      <c r="R83" s="210">
        <v>2013</v>
      </c>
      <c r="S83" s="211"/>
      <c r="T83" s="211"/>
    </row>
    <row r="84" spans="9:27" s="204" customFormat="1">
      <c r="I84" s="251" t="s">
        <v>366</v>
      </c>
      <c r="J84" s="252"/>
      <c r="K84" s="252"/>
      <c r="L84" s="252"/>
      <c r="M84" s="252"/>
      <c r="N84" s="252"/>
      <c r="O84" s="252"/>
      <c r="P84" s="252">
        <v>23</v>
      </c>
      <c r="Q84" s="199">
        <v>19</v>
      </c>
      <c r="R84" s="222">
        <v>11</v>
      </c>
      <c r="S84" s="224"/>
      <c r="T84" s="224"/>
    </row>
    <row r="85" spans="9:27" s="204" customFormat="1">
      <c r="I85" s="251" t="s">
        <v>199</v>
      </c>
      <c r="J85" s="252">
        <v>0</v>
      </c>
      <c r="K85" s="252">
        <v>0</v>
      </c>
      <c r="L85" s="252">
        <v>0</v>
      </c>
      <c r="M85" s="252">
        <v>0</v>
      </c>
      <c r="N85" s="252">
        <v>0</v>
      </c>
      <c r="O85" s="252">
        <v>2</v>
      </c>
      <c r="P85" s="252">
        <v>2</v>
      </c>
      <c r="Q85" s="199">
        <v>45</v>
      </c>
      <c r="R85" s="222">
        <v>23</v>
      </c>
      <c r="S85" s="224"/>
      <c r="T85" s="224"/>
    </row>
    <row r="86" spans="9:27" s="204" customFormat="1">
      <c r="I86" s="251" t="s">
        <v>464</v>
      </c>
      <c r="J86" s="252"/>
      <c r="K86" s="252"/>
      <c r="L86" s="252">
        <v>7</v>
      </c>
      <c r="M86" s="252">
        <v>9</v>
      </c>
      <c r="N86" s="252">
        <v>27</v>
      </c>
      <c r="O86" s="252">
        <v>12</v>
      </c>
      <c r="P86" s="252">
        <v>12</v>
      </c>
      <c r="Q86" s="199">
        <v>41</v>
      </c>
      <c r="R86" s="222">
        <v>68</v>
      </c>
      <c r="S86" s="224"/>
      <c r="T86" s="224"/>
    </row>
    <row r="87" spans="9:27" s="204" customFormat="1" hidden="1">
      <c r="I87" s="251" t="s">
        <v>465</v>
      </c>
      <c r="J87" s="252"/>
      <c r="K87" s="252"/>
      <c r="L87" s="252"/>
      <c r="M87" s="252"/>
      <c r="N87" s="252"/>
      <c r="O87" s="252"/>
      <c r="P87" s="252"/>
      <c r="Q87" s="199">
        <v>1</v>
      </c>
      <c r="R87" s="222"/>
      <c r="S87" s="224"/>
      <c r="T87" s="224"/>
    </row>
    <row r="88" spans="9:27" s="204" customFormat="1">
      <c r="I88" s="251" t="s">
        <v>21</v>
      </c>
      <c r="J88" s="252">
        <f t="shared" ref="J88:Q88" si="17">SUM(J84:J87)</f>
        <v>0</v>
      </c>
      <c r="K88" s="252">
        <f t="shared" si="17"/>
        <v>0</v>
      </c>
      <c r="L88" s="252">
        <f t="shared" si="17"/>
        <v>7</v>
      </c>
      <c r="M88" s="252">
        <f t="shared" si="17"/>
        <v>9</v>
      </c>
      <c r="N88" s="252">
        <f t="shared" si="17"/>
        <v>27</v>
      </c>
      <c r="O88" s="252">
        <f t="shared" si="17"/>
        <v>14</v>
      </c>
      <c r="P88" s="252">
        <f t="shared" si="17"/>
        <v>37</v>
      </c>
      <c r="Q88" s="199">
        <f t="shared" si="17"/>
        <v>106</v>
      </c>
      <c r="R88" s="222">
        <f>SUM(R84:R86)</f>
        <v>102</v>
      </c>
      <c r="S88" s="224"/>
      <c r="T88" s="224"/>
    </row>
    <row r="89" spans="9:27" s="204" customFormat="1">
      <c r="I89" s="251"/>
      <c r="J89" s="252"/>
      <c r="K89" s="252"/>
      <c r="L89" s="252"/>
      <c r="M89" s="252"/>
      <c r="N89" s="252"/>
      <c r="O89" s="252"/>
      <c r="P89" s="252"/>
      <c r="Q89" s="199"/>
      <c r="R89" s="199"/>
      <c r="S89" s="205"/>
      <c r="T89" s="205"/>
    </row>
    <row r="90" spans="9:27" s="204" customFormat="1">
      <c r="I90" s="251" t="s">
        <v>350</v>
      </c>
      <c r="J90" s="253">
        <f t="shared" ref="J90:P90" si="18">J88/J29</f>
        <v>0</v>
      </c>
      <c r="K90" s="253">
        <f t="shared" si="18"/>
        <v>0</v>
      </c>
      <c r="L90" s="253">
        <f t="shared" si="18"/>
        <v>0.21212121212121213</v>
      </c>
      <c r="M90" s="253">
        <f t="shared" si="18"/>
        <v>0.23684210526315788</v>
      </c>
      <c r="N90" s="253">
        <f t="shared" si="18"/>
        <v>0.72972972972972971</v>
      </c>
      <c r="O90" s="253">
        <f t="shared" si="18"/>
        <v>0.3888888888888889</v>
      </c>
      <c r="P90" s="253">
        <f t="shared" si="18"/>
        <v>1.0571428571428572</v>
      </c>
      <c r="Q90" s="253">
        <f>Q88/Q29</f>
        <v>2.2083333333333335</v>
      </c>
      <c r="R90" s="253">
        <f>R88/R29</f>
        <v>1.9615384615384615</v>
      </c>
      <c r="S90" s="247"/>
      <c r="T90" s="247"/>
    </row>
    <row r="91" spans="9:27" s="204" customFormat="1">
      <c r="I91" s="251" t="s">
        <v>351</v>
      </c>
      <c r="J91" s="252"/>
      <c r="K91" s="252"/>
      <c r="L91" s="252"/>
      <c r="M91" s="253">
        <f t="shared" ref="M91:P91" si="19">M86/M29</f>
        <v>0.23684210526315788</v>
      </c>
      <c r="N91" s="253">
        <f t="shared" si="19"/>
        <v>0.72972972972972971</v>
      </c>
      <c r="O91" s="253">
        <f t="shared" si="19"/>
        <v>0.33333333333333331</v>
      </c>
      <c r="P91" s="253">
        <f t="shared" si="19"/>
        <v>0.34285714285714286</v>
      </c>
      <c r="Q91" s="253">
        <f>Q86/Q29</f>
        <v>0.85416666666666663</v>
      </c>
      <c r="R91" s="253">
        <f>R86/R29</f>
        <v>1.3076923076923077</v>
      </c>
      <c r="S91" s="247"/>
      <c r="T91" s="247"/>
    </row>
    <row r="92" spans="9:27" s="204" customFormat="1">
      <c r="I92" s="235"/>
      <c r="J92" s="214"/>
      <c r="K92" s="214"/>
      <c r="L92" s="21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</row>
    <row r="93" spans="9:27">
      <c r="J93" s="203"/>
      <c r="K93" s="203"/>
      <c r="L93" s="203"/>
      <c r="M93" s="203"/>
      <c r="N93" s="203"/>
      <c r="U93" s="203"/>
      <c r="X93" s="238"/>
      <c r="Z93" s="204"/>
      <c r="AA93" s="204"/>
    </row>
    <row r="94" spans="9:27" ht="15">
      <c r="I94" s="219" t="s">
        <v>463</v>
      </c>
      <c r="J94" s="199"/>
      <c r="K94" s="199"/>
      <c r="L94" s="199"/>
      <c r="M94" s="213"/>
      <c r="N94" s="213"/>
      <c r="O94" s="213"/>
      <c r="P94" s="239"/>
      <c r="Q94" s="199"/>
      <c r="R94" s="199"/>
      <c r="S94" s="205"/>
      <c r="T94" s="205"/>
      <c r="U94" s="214"/>
      <c r="V94" s="214"/>
      <c r="W94" s="214"/>
      <c r="X94" s="214"/>
      <c r="Y94" s="214"/>
      <c r="Z94" s="214"/>
      <c r="AA94" s="214"/>
    </row>
    <row r="95" spans="9:27" ht="15">
      <c r="I95" s="221"/>
      <c r="J95" s="220" t="s">
        <v>2</v>
      </c>
      <c r="K95" s="220" t="s">
        <v>22</v>
      </c>
      <c r="L95" s="220" t="s">
        <v>25</v>
      </c>
      <c r="M95" s="220" t="s">
        <v>44</v>
      </c>
      <c r="N95" s="220" t="s">
        <v>55</v>
      </c>
      <c r="O95" s="220" t="s">
        <v>70</v>
      </c>
      <c r="P95" s="220" t="s">
        <v>72</v>
      </c>
      <c r="Q95" s="236">
        <v>2009</v>
      </c>
      <c r="R95" s="210">
        <v>2013</v>
      </c>
      <c r="S95" s="211"/>
      <c r="T95" s="211"/>
      <c r="U95" s="201"/>
      <c r="V95" s="201"/>
      <c r="W95" s="201"/>
    </row>
    <row r="96" spans="9:27">
      <c r="I96" s="221" t="s">
        <v>461</v>
      </c>
      <c r="J96" s="213">
        <v>20</v>
      </c>
      <c r="K96" s="213">
        <v>24</v>
      </c>
      <c r="L96" s="213">
        <v>35</v>
      </c>
      <c r="M96" s="213">
        <v>37</v>
      </c>
      <c r="N96" s="213">
        <v>42</v>
      </c>
      <c r="O96" s="213">
        <v>49</v>
      </c>
      <c r="P96" s="213">
        <v>57</v>
      </c>
      <c r="Q96" s="213">
        <v>113</v>
      </c>
      <c r="R96" s="213">
        <v>130</v>
      </c>
      <c r="S96" s="214"/>
      <c r="T96" s="214"/>
      <c r="U96" s="201"/>
      <c r="V96" s="201"/>
      <c r="W96" s="201"/>
    </row>
    <row r="97" spans="9:25">
      <c r="I97" s="221" t="s">
        <v>462</v>
      </c>
      <c r="J97" s="213">
        <v>25</v>
      </c>
      <c r="K97" s="213">
        <v>18</v>
      </c>
      <c r="L97" s="213">
        <v>38</v>
      </c>
      <c r="M97" s="213">
        <v>41</v>
      </c>
      <c r="N97" s="213">
        <v>37</v>
      </c>
      <c r="O97" s="213">
        <v>52</v>
      </c>
      <c r="P97" s="213">
        <v>70</v>
      </c>
      <c r="Q97" s="213">
        <v>130</v>
      </c>
      <c r="R97" s="213">
        <v>97</v>
      </c>
      <c r="S97" s="214"/>
      <c r="T97" s="214"/>
      <c r="U97" s="201"/>
      <c r="V97" s="201"/>
      <c r="W97" s="201"/>
    </row>
    <row r="98" spans="9:25">
      <c r="I98" s="221" t="s">
        <v>76</v>
      </c>
      <c r="J98" s="243">
        <f t="shared" ref="J98:P98" si="20">(J96+J97)/J29</f>
        <v>1.3636363636363635</v>
      </c>
      <c r="K98" s="243">
        <f t="shared" si="20"/>
        <v>1.2</v>
      </c>
      <c r="L98" s="243">
        <f t="shared" si="20"/>
        <v>2.2121212121212119</v>
      </c>
      <c r="M98" s="243">
        <f t="shared" si="20"/>
        <v>2.0526315789473686</v>
      </c>
      <c r="N98" s="243">
        <f t="shared" si="20"/>
        <v>2.1351351351351351</v>
      </c>
      <c r="O98" s="243">
        <f t="shared" si="20"/>
        <v>2.8055555555555554</v>
      </c>
      <c r="P98" s="243">
        <f t="shared" si="20"/>
        <v>3.6285714285714286</v>
      </c>
      <c r="Q98" s="243">
        <f>(Q96+Q97)/Q29</f>
        <v>5.0625</v>
      </c>
      <c r="R98" s="243">
        <f>(R96+R97)/R29</f>
        <v>4.365384615384615</v>
      </c>
      <c r="S98" s="214"/>
      <c r="T98" s="214"/>
      <c r="U98" s="201"/>
      <c r="V98" s="201"/>
      <c r="W98" s="201"/>
    </row>
    <row r="99" spans="9:25">
      <c r="I99" s="221" t="s">
        <v>77</v>
      </c>
      <c r="J99" s="243">
        <f t="shared" ref="J99:P99" si="21">(J96)/J29</f>
        <v>0.60606060606060608</v>
      </c>
      <c r="K99" s="243">
        <f t="shared" si="21"/>
        <v>0.68571428571428572</v>
      </c>
      <c r="L99" s="243">
        <f t="shared" si="21"/>
        <v>1.0606060606060606</v>
      </c>
      <c r="M99" s="243">
        <f t="shared" si="21"/>
        <v>0.97368421052631582</v>
      </c>
      <c r="N99" s="243">
        <f t="shared" si="21"/>
        <v>1.1351351351351351</v>
      </c>
      <c r="O99" s="243">
        <f t="shared" si="21"/>
        <v>1.3611111111111112</v>
      </c>
      <c r="P99" s="243">
        <f t="shared" si="21"/>
        <v>1.6285714285714286</v>
      </c>
      <c r="Q99" s="243">
        <f>(Q96)/Q29</f>
        <v>2.3541666666666665</v>
      </c>
      <c r="R99" s="243">
        <f>(R96)/R29</f>
        <v>2.5</v>
      </c>
      <c r="S99" s="214"/>
      <c r="T99" s="214"/>
      <c r="U99" s="201"/>
      <c r="V99" s="201"/>
      <c r="W99" s="201"/>
    </row>
    <row r="100" spans="9:25">
      <c r="I100" s="221" t="s">
        <v>400</v>
      </c>
      <c r="J100" s="243">
        <f t="shared" ref="J100:P100" si="22">(J96+J97)/J29</f>
        <v>1.3636363636363635</v>
      </c>
      <c r="K100" s="243">
        <f t="shared" si="22"/>
        <v>1.2</v>
      </c>
      <c r="L100" s="243">
        <f t="shared" si="22"/>
        <v>2.2121212121212119</v>
      </c>
      <c r="M100" s="243">
        <f t="shared" si="22"/>
        <v>2.0526315789473686</v>
      </c>
      <c r="N100" s="243">
        <f t="shared" si="22"/>
        <v>2.1351351351351351</v>
      </c>
      <c r="O100" s="243">
        <f t="shared" si="22"/>
        <v>2.8055555555555554</v>
      </c>
      <c r="P100" s="243">
        <f t="shared" si="22"/>
        <v>3.6285714285714286</v>
      </c>
      <c r="Q100" s="243">
        <f>(Q96+Q97)/Q29</f>
        <v>5.0625</v>
      </c>
      <c r="R100" s="243">
        <f>(R96+R97)/R29</f>
        <v>4.365384615384615</v>
      </c>
      <c r="S100" s="214">
        <f>57*147%</f>
        <v>83.789999999999992</v>
      </c>
      <c r="T100" s="214">
        <f>57*130%</f>
        <v>74.100000000000009</v>
      </c>
      <c r="U100" s="201"/>
      <c r="V100" s="201"/>
      <c r="W100" s="201"/>
    </row>
    <row r="101" spans="9:25" s="204" customFormat="1">
      <c r="J101" s="245"/>
      <c r="K101" s="245"/>
      <c r="L101" s="245"/>
      <c r="M101" s="245"/>
      <c r="N101" s="245"/>
      <c r="O101" s="245"/>
      <c r="P101" s="245"/>
      <c r="Q101" s="245"/>
      <c r="R101" s="245"/>
      <c r="S101" s="245">
        <v>57</v>
      </c>
      <c r="T101" s="245">
        <v>57</v>
      </c>
      <c r="U101" s="245"/>
      <c r="V101" s="245"/>
      <c r="W101" s="245"/>
      <c r="X101" s="229"/>
      <c r="Y101" s="229"/>
    </row>
    <row r="102" spans="9:25" s="204" customFormat="1">
      <c r="J102" s="245"/>
      <c r="K102" s="245"/>
      <c r="L102" s="245"/>
      <c r="M102" s="245"/>
      <c r="N102" s="245"/>
      <c r="O102" s="245"/>
      <c r="P102" s="245"/>
      <c r="Q102" s="245"/>
      <c r="R102" s="245"/>
      <c r="S102" s="245">
        <f>SUM(S100:S101)</f>
        <v>140.79</v>
      </c>
      <c r="T102" s="245">
        <f>SUM(T100:T101)</f>
        <v>131.10000000000002</v>
      </c>
      <c r="U102" s="245"/>
      <c r="V102" s="245"/>
      <c r="W102" s="214"/>
      <c r="X102" s="229"/>
      <c r="Y102" s="229"/>
    </row>
    <row r="103" spans="9:25" s="204" customFormat="1" ht="15">
      <c r="I103" s="219" t="s">
        <v>467</v>
      </c>
      <c r="J103" s="220" t="s">
        <v>2</v>
      </c>
      <c r="K103" s="220" t="s">
        <v>22</v>
      </c>
      <c r="L103" s="220" t="s">
        <v>25</v>
      </c>
      <c r="M103" s="220" t="s">
        <v>44</v>
      </c>
      <c r="N103" s="220" t="s">
        <v>55</v>
      </c>
      <c r="O103" s="220" t="s">
        <v>70</v>
      </c>
      <c r="P103" s="210">
        <v>2006</v>
      </c>
      <c r="Q103" s="236">
        <v>2009</v>
      </c>
      <c r="R103" s="210">
        <v>2013</v>
      </c>
      <c r="S103" s="211"/>
      <c r="T103" s="211"/>
    </row>
    <row r="104" spans="9:25" s="204" customFormat="1">
      <c r="I104" s="255" t="s">
        <v>469</v>
      </c>
      <c r="J104" s="213"/>
      <c r="K104" s="213"/>
      <c r="L104" s="213"/>
      <c r="M104" s="213"/>
      <c r="N104" s="213"/>
      <c r="O104" s="213"/>
      <c r="P104" s="256">
        <v>37</v>
      </c>
      <c r="Q104" s="256">
        <v>23</v>
      </c>
      <c r="R104" s="193">
        <v>23</v>
      </c>
    </row>
    <row r="105" spans="9:25" s="204" customFormat="1">
      <c r="I105" s="255" t="s">
        <v>470</v>
      </c>
      <c r="J105" s="213"/>
      <c r="K105" s="213"/>
      <c r="L105" s="213"/>
      <c r="M105" s="213"/>
      <c r="N105" s="213"/>
      <c r="O105" s="213"/>
      <c r="P105" s="256">
        <v>20</v>
      </c>
      <c r="Q105" s="256">
        <v>60</v>
      </c>
      <c r="R105" s="193">
        <v>44</v>
      </c>
    </row>
    <row r="106" spans="9:25" s="204" customFormat="1">
      <c r="I106" s="255" t="s">
        <v>471</v>
      </c>
      <c r="J106" s="213"/>
      <c r="K106" s="213"/>
      <c r="L106" s="213"/>
      <c r="M106" s="213"/>
      <c r="N106" s="213"/>
      <c r="O106" s="213"/>
      <c r="P106" s="256">
        <v>14</v>
      </c>
      <c r="Q106" s="256">
        <v>19</v>
      </c>
      <c r="R106" s="193">
        <v>41</v>
      </c>
    </row>
    <row r="107" spans="9:25" s="204" customFormat="1">
      <c r="I107" s="255" t="s">
        <v>472</v>
      </c>
      <c r="J107" s="213"/>
      <c r="K107" s="213"/>
      <c r="L107" s="213"/>
      <c r="M107" s="213"/>
      <c r="N107" s="213"/>
      <c r="O107" s="213"/>
      <c r="P107" s="256">
        <v>0</v>
      </c>
      <c r="Q107" s="256">
        <v>9</v>
      </c>
      <c r="R107" s="193">
        <v>26</v>
      </c>
    </row>
    <row r="108" spans="9:25" s="204" customFormat="1">
      <c r="I108" s="255" t="s">
        <v>518</v>
      </c>
      <c r="J108" s="213"/>
      <c r="K108" s="213"/>
      <c r="L108" s="213"/>
      <c r="M108" s="213"/>
      <c r="N108" s="213"/>
      <c r="O108" s="213"/>
      <c r="P108" s="257">
        <v>0</v>
      </c>
      <c r="Q108" s="257">
        <v>2</v>
      </c>
      <c r="R108" s="193">
        <v>7</v>
      </c>
    </row>
    <row r="109" spans="9:25" s="204" customFormat="1">
      <c r="I109" s="221"/>
      <c r="J109" s="221"/>
      <c r="K109" s="221"/>
      <c r="L109" s="221"/>
      <c r="M109" s="221"/>
      <c r="N109" s="221"/>
      <c r="O109" s="221"/>
      <c r="P109" s="213">
        <f t="shared" ref="P109:Q109" si="23">SUM(P104:P108)</f>
        <v>71</v>
      </c>
      <c r="Q109" s="213">
        <f t="shared" si="23"/>
        <v>113</v>
      </c>
      <c r="R109" s="213">
        <f>SUM(R104:R108)</f>
        <v>141</v>
      </c>
    </row>
    <row r="110" spans="9:25" s="204" customFormat="1" ht="15" hidden="1">
      <c r="I110" s="258" t="s">
        <v>421</v>
      </c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05"/>
      <c r="W110" s="214"/>
      <c r="X110" s="214"/>
      <c r="Y110" s="229"/>
    </row>
    <row r="111" spans="9:25" s="204" customFormat="1" ht="15" hidden="1">
      <c r="I111" s="190" t="s">
        <v>422</v>
      </c>
      <c r="J111" s="245"/>
      <c r="K111" s="245"/>
      <c r="L111" s="259">
        <v>2005</v>
      </c>
      <c r="M111" s="259">
        <v>2006</v>
      </c>
      <c r="N111" s="259">
        <v>2007</v>
      </c>
      <c r="O111" s="259">
        <v>2008</v>
      </c>
      <c r="P111" s="259">
        <v>2009</v>
      </c>
      <c r="Q111" s="259">
        <v>2010</v>
      </c>
      <c r="R111" s="259">
        <v>2011</v>
      </c>
      <c r="S111" s="245"/>
      <c r="T111" s="245"/>
      <c r="U111" s="245"/>
      <c r="V111" s="205"/>
      <c r="W111" s="214"/>
      <c r="X111" s="229"/>
      <c r="Y111" s="229"/>
    </row>
    <row r="112" spans="9:25" s="204" customFormat="1" hidden="1">
      <c r="I112" s="190" t="s">
        <v>423</v>
      </c>
      <c r="J112" s="190"/>
      <c r="K112" s="190"/>
      <c r="L112" s="260">
        <v>0</v>
      </c>
      <c r="M112" s="260">
        <v>0</v>
      </c>
      <c r="N112" s="260">
        <v>0</v>
      </c>
      <c r="O112" s="260">
        <v>1</v>
      </c>
      <c r="P112" s="260">
        <v>0</v>
      </c>
      <c r="Q112" s="260">
        <v>1</v>
      </c>
      <c r="R112" s="260">
        <v>0</v>
      </c>
      <c r="S112" s="245"/>
      <c r="T112" s="245"/>
      <c r="U112" s="245"/>
      <c r="V112" s="205"/>
      <c r="W112" s="214"/>
      <c r="X112" s="229"/>
      <c r="Y112" s="229"/>
    </row>
    <row r="113" spans="9:27" s="204" customFormat="1" hidden="1">
      <c r="J113" s="190"/>
      <c r="K113" s="190"/>
      <c r="L113" s="260">
        <v>0</v>
      </c>
      <c r="M113" s="260">
        <v>0</v>
      </c>
      <c r="N113" s="260">
        <v>0</v>
      </c>
      <c r="O113" s="260">
        <v>1</v>
      </c>
      <c r="P113" s="260">
        <v>1</v>
      </c>
      <c r="Q113" s="260">
        <v>2</v>
      </c>
      <c r="R113" s="260">
        <v>1</v>
      </c>
      <c r="S113" s="245"/>
      <c r="T113" s="245"/>
      <c r="U113" s="245"/>
      <c r="V113" s="205"/>
      <c r="W113" s="214"/>
      <c r="X113" s="229"/>
      <c r="Y113" s="229"/>
    </row>
    <row r="114" spans="9:27" s="204" customFormat="1" ht="15" hidden="1">
      <c r="I114" s="261" t="s">
        <v>420</v>
      </c>
      <c r="J114" s="262"/>
      <c r="K114" s="262"/>
      <c r="L114" s="263"/>
      <c r="M114" s="263"/>
      <c r="N114" s="263"/>
      <c r="O114" s="263"/>
      <c r="P114" s="263"/>
      <c r="Q114" s="264"/>
      <c r="R114" s="262"/>
      <c r="S114" s="245"/>
      <c r="T114" s="245"/>
      <c r="U114" s="245"/>
      <c r="V114" s="205"/>
      <c r="W114" s="214"/>
      <c r="X114" s="229"/>
      <c r="Y114" s="229"/>
    </row>
    <row r="115" spans="9:27" s="204" customFormat="1" ht="15" hidden="1">
      <c r="I115" s="264"/>
      <c r="J115" s="262"/>
      <c r="K115" s="262"/>
      <c r="L115" s="259">
        <v>2005</v>
      </c>
      <c r="M115" s="259">
        <v>2006</v>
      </c>
      <c r="N115" s="259">
        <v>2007</v>
      </c>
      <c r="O115" s="259">
        <v>2008</v>
      </c>
      <c r="P115" s="259">
        <v>2009</v>
      </c>
      <c r="Q115" s="259">
        <v>2010</v>
      </c>
      <c r="R115" s="259">
        <v>2011</v>
      </c>
      <c r="S115" s="245"/>
      <c r="T115" s="245"/>
      <c r="U115" s="245"/>
      <c r="V115" s="205"/>
      <c r="W115" s="214"/>
      <c r="X115" s="229"/>
      <c r="Y115" s="229"/>
    </row>
    <row r="116" spans="9:27" s="204" customFormat="1" hidden="1">
      <c r="I116" s="264" t="s">
        <v>422</v>
      </c>
      <c r="J116" s="264"/>
      <c r="K116" s="264"/>
      <c r="L116" s="263">
        <v>0</v>
      </c>
      <c r="M116" s="263">
        <v>0</v>
      </c>
      <c r="N116" s="263">
        <v>3</v>
      </c>
      <c r="O116" s="263">
        <v>1</v>
      </c>
      <c r="P116" s="263">
        <v>0</v>
      </c>
      <c r="Q116" s="263">
        <v>2</v>
      </c>
      <c r="R116" s="263">
        <v>6</v>
      </c>
      <c r="S116" s="265"/>
      <c r="T116" s="245"/>
      <c r="U116" s="245"/>
      <c r="V116" s="205"/>
      <c r="W116" s="214"/>
      <c r="X116" s="229"/>
      <c r="Y116" s="229"/>
    </row>
    <row r="117" spans="9:27" s="204" customFormat="1" hidden="1">
      <c r="I117" s="264" t="s">
        <v>423</v>
      </c>
      <c r="J117" s="264"/>
      <c r="K117" s="264"/>
      <c r="L117" s="263">
        <v>0</v>
      </c>
      <c r="M117" s="263">
        <v>2</v>
      </c>
      <c r="N117" s="263">
        <v>2</v>
      </c>
      <c r="O117" s="263">
        <v>8</v>
      </c>
      <c r="P117" s="263">
        <v>9</v>
      </c>
      <c r="Q117" s="263">
        <v>2</v>
      </c>
      <c r="R117" s="263">
        <v>6</v>
      </c>
      <c r="S117" s="245"/>
      <c r="T117" s="245"/>
      <c r="U117" s="245"/>
      <c r="V117" s="205"/>
      <c r="W117" s="214"/>
      <c r="X117" s="229"/>
      <c r="Y117" s="229"/>
    </row>
    <row r="118" spans="9:27" s="204" customFormat="1" ht="15">
      <c r="L118" s="205"/>
      <c r="M118" s="205"/>
      <c r="N118" s="205"/>
      <c r="O118" s="205"/>
      <c r="P118" s="432"/>
      <c r="Q118" s="385"/>
      <c r="R118" s="211"/>
      <c r="S118" s="245"/>
      <c r="T118" s="245"/>
      <c r="U118" s="245"/>
      <c r="V118" s="205"/>
      <c r="W118" s="214"/>
      <c r="X118" s="229"/>
      <c r="Y118" s="229"/>
    </row>
    <row r="119" spans="9:27" s="204" customFormat="1" ht="15">
      <c r="I119" s="219" t="s">
        <v>607</v>
      </c>
      <c r="J119" s="221"/>
      <c r="K119" s="221"/>
      <c r="L119" s="199"/>
      <c r="M119" s="199"/>
      <c r="N119" s="199"/>
      <c r="O119" s="199"/>
      <c r="P119" s="236">
        <v>2004</v>
      </c>
      <c r="Q119" s="236">
        <v>2009</v>
      </c>
      <c r="R119" s="210">
        <v>2013</v>
      </c>
      <c r="S119" s="245"/>
      <c r="T119" s="245"/>
      <c r="U119" s="245"/>
      <c r="V119" s="205"/>
      <c r="W119" s="214"/>
      <c r="X119" s="229"/>
      <c r="Y119" s="229"/>
    </row>
    <row r="120" spans="9:27" s="204" customFormat="1" ht="15">
      <c r="I120" s="219" t="s">
        <v>607</v>
      </c>
      <c r="J120" s="221"/>
      <c r="K120" s="221"/>
      <c r="L120" s="199"/>
      <c r="M120" s="199"/>
      <c r="N120" s="199"/>
      <c r="O120" s="199"/>
      <c r="P120" s="199">
        <v>1.5</v>
      </c>
      <c r="Q120" s="199">
        <v>1.7</v>
      </c>
      <c r="R120" s="199">
        <v>2.2000000000000002</v>
      </c>
      <c r="S120" s="245"/>
      <c r="T120" s="245"/>
      <c r="U120" s="245"/>
      <c r="V120" s="205"/>
      <c r="W120" s="214"/>
      <c r="X120" s="229"/>
      <c r="Y120" s="229"/>
    </row>
    <row r="121" spans="9:27" s="204" customFormat="1">
      <c r="L121" s="205"/>
      <c r="M121" s="205"/>
      <c r="N121" s="205"/>
      <c r="O121" s="205"/>
      <c r="P121" s="205"/>
      <c r="Q121" s="205"/>
      <c r="R121" s="205"/>
      <c r="S121" s="245"/>
      <c r="T121" s="245"/>
      <c r="U121" s="245"/>
      <c r="V121" s="205"/>
      <c r="W121" s="214"/>
      <c r="X121" s="229"/>
      <c r="Y121" s="229"/>
    </row>
    <row r="122" spans="9:27" s="204" customFormat="1">
      <c r="L122" s="205"/>
      <c r="M122" s="205"/>
      <c r="N122" s="205"/>
      <c r="O122" s="205"/>
      <c r="P122" s="205"/>
      <c r="Q122" s="205"/>
      <c r="R122" s="205"/>
      <c r="S122" s="245"/>
      <c r="T122" s="245"/>
      <c r="U122" s="245"/>
      <c r="V122" s="205"/>
      <c r="W122" s="214"/>
      <c r="X122" s="229"/>
      <c r="Y122" s="229"/>
    </row>
    <row r="123" spans="9:27" s="204" customFormat="1">
      <c r="L123" s="205"/>
      <c r="M123" s="205"/>
      <c r="N123" s="205"/>
      <c r="O123" s="205"/>
      <c r="P123" s="205"/>
      <c r="Q123" s="205"/>
      <c r="R123" s="205"/>
      <c r="S123" s="245"/>
      <c r="T123" s="245"/>
      <c r="U123" s="245"/>
      <c r="V123" s="205"/>
      <c r="W123" s="214"/>
      <c r="X123" s="229"/>
      <c r="Y123" s="229"/>
    </row>
    <row r="124" spans="9:27" s="204" customFormat="1">
      <c r="L124" s="205"/>
      <c r="M124" s="205"/>
      <c r="N124" s="205"/>
      <c r="O124" s="205"/>
      <c r="P124" s="205"/>
      <c r="Q124" s="205"/>
      <c r="R124" s="205"/>
      <c r="S124" s="245"/>
      <c r="T124" s="245"/>
      <c r="U124" s="245"/>
      <c r="V124" s="205"/>
      <c r="W124" s="214"/>
      <c r="X124" s="229"/>
      <c r="Y124" s="229"/>
    </row>
    <row r="125" spans="9:27" s="204" customFormat="1">
      <c r="L125" s="205"/>
      <c r="M125" s="205"/>
      <c r="N125" s="205"/>
      <c r="O125" s="205"/>
      <c r="P125" s="205"/>
      <c r="Q125" s="205"/>
      <c r="R125" s="205"/>
      <c r="S125" s="245"/>
      <c r="T125" s="245"/>
      <c r="U125" s="245"/>
      <c r="V125" s="205"/>
      <c r="W125" s="214"/>
      <c r="X125" s="229"/>
      <c r="Y125" s="229"/>
    </row>
    <row r="126" spans="9:27" s="204" customFormat="1"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05"/>
      <c r="W126" s="214"/>
      <c r="X126" s="229"/>
      <c r="Y126" s="229"/>
    </row>
    <row r="127" spans="9:27" ht="15">
      <c r="I127" s="219" t="s">
        <v>17</v>
      </c>
      <c r="J127" s="219"/>
      <c r="K127" s="219"/>
      <c r="L127" s="219"/>
      <c r="M127" s="213"/>
      <c r="N127" s="213"/>
      <c r="O127" s="213"/>
      <c r="P127" s="214"/>
      <c r="Q127" s="214"/>
      <c r="R127" s="214"/>
      <c r="S127" s="205"/>
      <c r="T127" s="205"/>
      <c r="U127" s="214"/>
      <c r="V127" s="214"/>
      <c r="W127" s="214"/>
      <c r="X127" s="214"/>
      <c r="Y127" s="214"/>
      <c r="Z127" s="214"/>
      <c r="AA127" s="214"/>
    </row>
    <row r="128" spans="9:27" ht="15">
      <c r="I128" s="194"/>
      <c r="J128" s="194"/>
      <c r="K128" s="194"/>
      <c r="L128" s="194"/>
      <c r="M128" s="194">
        <v>2004</v>
      </c>
      <c r="N128" s="194">
        <v>2009</v>
      </c>
      <c r="O128" s="210">
        <v>2013</v>
      </c>
      <c r="P128" s="211"/>
      <c r="Q128" s="211"/>
      <c r="R128" s="204"/>
      <c r="S128" s="204"/>
      <c r="T128" s="204"/>
      <c r="U128" s="204"/>
      <c r="V128" s="204"/>
      <c r="W128" s="204"/>
    </row>
    <row r="129" spans="1:27">
      <c r="I129" s="195" t="s">
        <v>466</v>
      </c>
      <c r="J129" s="195"/>
      <c r="K129" s="195"/>
      <c r="L129" s="195"/>
      <c r="M129" s="196">
        <v>33</v>
      </c>
      <c r="N129" s="199">
        <v>24</v>
      </c>
      <c r="O129" s="199">
        <v>35</v>
      </c>
      <c r="P129" s="204"/>
      <c r="Q129" s="204"/>
      <c r="R129" s="204"/>
      <c r="S129" s="204"/>
      <c r="T129" s="204"/>
      <c r="U129" s="204"/>
      <c r="V129" s="204"/>
      <c r="W129" s="204"/>
    </row>
    <row r="130" spans="1:27">
      <c r="I130" s="195" t="s">
        <v>203</v>
      </c>
      <c r="J130" s="195"/>
      <c r="K130" s="195"/>
      <c r="L130" s="195"/>
      <c r="M130" s="196">
        <v>27</v>
      </c>
      <c r="N130" s="199">
        <v>59</v>
      </c>
      <c r="O130" s="199">
        <v>127</v>
      </c>
      <c r="P130" s="204"/>
      <c r="Q130" s="204"/>
      <c r="R130" s="204"/>
      <c r="S130" s="204"/>
      <c r="T130" s="204"/>
      <c r="U130" s="204"/>
      <c r="V130" s="204"/>
      <c r="W130" s="204"/>
    </row>
    <row r="131" spans="1:27">
      <c r="I131" s="195" t="s">
        <v>597</v>
      </c>
      <c r="J131" s="195"/>
      <c r="K131" s="195"/>
      <c r="L131" s="195"/>
      <c r="M131" s="196">
        <v>32</v>
      </c>
      <c r="N131" s="199">
        <v>61</v>
      </c>
      <c r="O131" s="199">
        <v>93</v>
      </c>
      <c r="P131" s="204"/>
      <c r="Q131" s="204"/>
      <c r="R131" s="204"/>
      <c r="S131" s="204"/>
      <c r="T131" s="204"/>
      <c r="U131" s="204"/>
      <c r="V131" s="204"/>
      <c r="W131" s="204"/>
    </row>
    <row r="132" spans="1:27" ht="15">
      <c r="I132" s="197" t="s">
        <v>45</v>
      </c>
      <c r="J132" s="195"/>
      <c r="K132" s="195"/>
      <c r="L132" s="195"/>
      <c r="M132" s="196">
        <v>92</v>
      </c>
      <c r="N132" s="199">
        <f t="shared" ref="N132:O132" si="24">SUM(N129:N131)</f>
        <v>144</v>
      </c>
      <c r="O132" s="236">
        <f t="shared" si="24"/>
        <v>255</v>
      </c>
      <c r="P132" s="204"/>
      <c r="Q132" s="204"/>
      <c r="R132" s="204"/>
      <c r="S132" s="204"/>
      <c r="T132" s="204"/>
      <c r="U132" s="204"/>
      <c r="V132" s="204"/>
      <c r="W132" s="204"/>
    </row>
    <row r="133" spans="1:27" ht="15">
      <c r="I133" s="218"/>
      <c r="J133" s="430"/>
      <c r="K133" s="430"/>
      <c r="L133" s="430"/>
      <c r="M133" s="431"/>
      <c r="N133" s="431"/>
      <c r="O133" s="431">
        <v>2013</v>
      </c>
      <c r="P133" s="431"/>
      <c r="Q133" s="205"/>
      <c r="R133" s="385"/>
      <c r="S133" s="204"/>
      <c r="T133" s="204"/>
      <c r="U133" s="204"/>
      <c r="V133" s="204"/>
      <c r="W133" s="204"/>
      <c r="X133" s="204"/>
      <c r="Y133" s="204"/>
      <c r="Z133" s="204"/>
    </row>
    <row r="134" spans="1:27">
      <c r="I134" s="195" t="s">
        <v>536</v>
      </c>
      <c r="J134" s="195"/>
      <c r="K134" s="195"/>
      <c r="L134" s="195"/>
      <c r="M134" s="196"/>
      <c r="N134" s="196"/>
      <c r="O134" s="199">
        <v>97</v>
      </c>
      <c r="P134" s="431"/>
      <c r="Q134" s="205"/>
      <c r="S134" s="205"/>
      <c r="T134" s="205"/>
      <c r="U134" s="204"/>
      <c r="V134" s="204"/>
      <c r="W134" s="204"/>
      <c r="X134" s="204"/>
      <c r="Y134" s="204"/>
      <c r="Z134" s="204"/>
    </row>
    <row r="135" spans="1:27">
      <c r="I135" s="195" t="s">
        <v>599</v>
      </c>
      <c r="J135" s="195"/>
      <c r="K135" s="195"/>
      <c r="L135" s="195"/>
      <c r="M135" s="196"/>
      <c r="N135" s="196"/>
      <c r="O135" s="199">
        <v>4</v>
      </c>
      <c r="P135" s="431"/>
      <c r="Q135" s="431"/>
      <c r="S135" s="214"/>
      <c r="T135" s="214"/>
      <c r="U135" s="205"/>
      <c r="V135" s="205"/>
      <c r="W135" s="205"/>
      <c r="X135" s="205"/>
      <c r="Y135" s="204"/>
      <c r="Z135" s="204"/>
      <c r="AA135" s="204"/>
    </row>
    <row r="136" spans="1:27">
      <c r="I136" s="195" t="s">
        <v>537</v>
      </c>
      <c r="J136" s="195"/>
      <c r="K136" s="195"/>
      <c r="L136" s="195"/>
      <c r="M136" s="196"/>
      <c r="N136" s="196"/>
      <c r="O136" s="199">
        <v>76</v>
      </c>
      <c r="P136" s="431"/>
      <c r="Q136" s="431"/>
      <c r="S136" s="214"/>
      <c r="T136" s="214"/>
      <c r="U136" s="205"/>
      <c r="V136" s="205"/>
      <c r="W136" s="205"/>
      <c r="X136" s="205"/>
      <c r="Y136" s="204"/>
      <c r="Z136" s="204"/>
      <c r="AA136" s="204"/>
    </row>
    <row r="137" spans="1:27">
      <c r="I137" s="195" t="s">
        <v>538</v>
      </c>
      <c r="J137" s="195"/>
      <c r="K137" s="195"/>
      <c r="L137" s="195"/>
      <c r="M137" s="196"/>
      <c r="N137" s="196"/>
      <c r="O137" s="199">
        <f>5+3</f>
        <v>8</v>
      </c>
      <c r="P137" s="431"/>
      <c r="Q137" s="431"/>
      <c r="S137" s="214"/>
      <c r="T137" s="214"/>
      <c r="U137" s="205"/>
      <c r="V137" s="205"/>
      <c r="W137" s="205"/>
      <c r="X137" s="205"/>
      <c r="Y137" s="204"/>
      <c r="Z137" s="204"/>
      <c r="AA137" s="204"/>
    </row>
    <row r="138" spans="1:27" s="204" customFormat="1"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05"/>
      <c r="W138" s="214"/>
      <c r="X138" s="229"/>
      <c r="Y138" s="229"/>
    </row>
    <row r="139" spans="1:27" ht="18" customHeight="1">
      <c r="A139" s="266"/>
      <c r="B139" s="266"/>
      <c r="C139" s="266"/>
      <c r="D139" s="266"/>
      <c r="E139" s="266"/>
      <c r="F139" s="266"/>
      <c r="G139" s="266"/>
      <c r="H139" s="266"/>
      <c r="I139" s="204"/>
      <c r="J139" s="258"/>
      <c r="K139" s="258"/>
      <c r="L139" s="258"/>
      <c r="M139" s="214"/>
      <c r="N139" s="214"/>
      <c r="O139" s="214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</row>
    <row r="140" spans="1:27" ht="15">
      <c r="I140" s="219" t="s">
        <v>64</v>
      </c>
      <c r="J140" s="220" t="s">
        <v>2</v>
      </c>
      <c r="K140" s="220" t="s">
        <v>22</v>
      </c>
      <c r="L140" s="220" t="s">
        <v>25</v>
      </c>
      <c r="M140" s="220" t="s">
        <v>44</v>
      </c>
      <c r="N140" s="220" t="s">
        <v>55</v>
      </c>
      <c r="O140" s="220" t="s">
        <v>70</v>
      </c>
      <c r="P140" s="220" t="s">
        <v>72</v>
      </c>
      <c r="Q140" s="194">
        <v>2009</v>
      </c>
      <c r="R140" s="210">
        <v>2013</v>
      </c>
      <c r="S140" s="211"/>
      <c r="T140" s="211"/>
      <c r="U140" s="201"/>
      <c r="V140" s="201"/>
      <c r="W140" s="201"/>
    </row>
    <row r="141" spans="1:27">
      <c r="I141" s="221" t="s">
        <v>36</v>
      </c>
      <c r="J141" s="252">
        <v>31</v>
      </c>
      <c r="K141" s="252">
        <v>31</v>
      </c>
      <c r="L141" s="252">
        <v>25</v>
      </c>
      <c r="M141" s="252">
        <v>31</v>
      </c>
      <c r="N141" s="252">
        <v>49</v>
      </c>
      <c r="O141" s="252">
        <v>56</v>
      </c>
      <c r="P141" s="252">
        <v>60</v>
      </c>
      <c r="Q141" s="267">
        <v>36</v>
      </c>
      <c r="R141" s="267">
        <v>46</v>
      </c>
      <c r="S141" s="204"/>
      <c r="T141" s="204"/>
      <c r="U141" s="201"/>
      <c r="V141" s="201"/>
      <c r="W141" s="201"/>
    </row>
    <row r="142" spans="1:27">
      <c r="I142" s="221" t="s">
        <v>37</v>
      </c>
      <c r="J142" s="252">
        <v>27</v>
      </c>
      <c r="K142" s="252">
        <v>26</v>
      </c>
      <c r="L142" s="252">
        <v>43</v>
      </c>
      <c r="M142" s="252">
        <v>47</v>
      </c>
      <c r="N142" s="252">
        <v>52</v>
      </c>
      <c r="O142" s="252">
        <v>62</v>
      </c>
      <c r="P142" s="252">
        <v>71</v>
      </c>
      <c r="Q142" s="267">
        <v>159</v>
      </c>
      <c r="R142" s="267">
        <v>86</v>
      </c>
      <c r="S142" s="204"/>
      <c r="T142" s="204"/>
      <c r="U142" s="201"/>
      <c r="V142" s="201"/>
      <c r="W142" s="201"/>
    </row>
    <row r="143" spans="1:27">
      <c r="I143" s="221" t="s">
        <v>34</v>
      </c>
      <c r="J143" s="252">
        <v>7</v>
      </c>
      <c r="K143" s="252">
        <v>8</v>
      </c>
      <c r="L143" s="252">
        <v>14</v>
      </c>
      <c r="M143" s="252">
        <v>17</v>
      </c>
      <c r="N143" s="252">
        <v>13</v>
      </c>
      <c r="O143" s="252">
        <v>15</v>
      </c>
      <c r="P143" s="252">
        <v>24</v>
      </c>
      <c r="Q143" s="267">
        <v>31</v>
      </c>
      <c r="R143" s="267">
        <v>11</v>
      </c>
      <c r="S143" s="204"/>
      <c r="T143" s="204"/>
      <c r="U143" s="201"/>
      <c r="V143" s="201"/>
      <c r="W143" s="201"/>
    </row>
    <row r="144" spans="1:27">
      <c r="I144" s="268" t="s">
        <v>35</v>
      </c>
      <c r="J144" s="252">
        <v>10</v>
      </c>
      <c r="K144" s="252">
        <v>14</v>
      </c>
      <c r="L144" s="252">
        <v>24</v>
      </c>
      <c r="M144" s="252">
        <v>25</v>
      </c>
      <c r="N144" s="252">
        <v>25</v>
      </c>
      <c r="O144" s="252">
        <v>19</v>
      </c>
      <c r="P144" s="252">
        <v>18</v>
      </c>
      <c r="Q144" s="267">
        <v>6</v>
      </c>
      <c r="R144" s="267">
        <v>20</v>
      </c>
      <c r="S144" s="204"/>
      <c r="T144" s="204"/>
      <c r="U144" s="201"/>
      <c r="V144" s="201"/>
      <c r="W144" s="201"/>
    </row>
    <row r="145" spans="9:27" hidden="1">
      <c r="I145" s="212" t="s">
        <v>348</v>
      </c>
      <c r="J145" s="252"/>
      <c r="K145" s="252"/>
      <c r="L145" s="252"/>
      <c r="M145" s="252"/>
      <c r="N145" s="252"/>
      <c r="O145" s="252"/>
      <c r="P145" s="252"/>
      <c r="Q145" s="267">
        <v>35</v>
      </c>
      <c r="R145" s="267"/>
      <c r="S145" s="204"/>
      <c r="T145" s="204"/>
      <c r="U145" s="201"/>
      <c r="V145" s="201"/>
      <c r="W145" s="201"/>
    </row>
    <row r="146" spans="9:27">
      <c r="I146" s="221" t="s">
        <v>517</v>
      </c>
      <c r="J146" s="252"/>
      <c r="K146" s="252"/>
      <c r="L146" s="252"/>
      <c r="M146" s="252"/>
      <c r="N146" s="252"/>
      <c r="O146" s="252"/>
      <c r="P146" s="252"/>
      <c r="Q146" s="252"/>
      <c r="R146" s="267">
        <v>3</v>
      </c>
      <c r="S146" s="204"/>
      <c r="T146" s="204"/>
      <c r="U146" s="201"/>
      <c r="V146" s="201"/>
      <c r="W146" s="201"/>
    </row>
    <row r="147" spans="9:27">
      <c r="I147" s="221" t="s">
        <v>348</v>
      </c>
      <c r="J147" s="252"/>
      <c r="K147" s="252"/>
      <c r="L147" s="252"/>
      <c r="M147" s="252"/>
      <c r="N147" s="252"/>
      <c r="O147" s="252"/>
      <c r="P147" s="252"/>
      <c r="Q147" s="252"/>
      <c r="R147" s="269"/>
      <c r="S147" s="204"/>
      <c r="T147" s="204"/>
      <c r="U147" s="201"/>
      <c r="V147" s="201"/>
      <c r="W147" s="201"/>
    </row>
    <row r="148" spans="9:27">
      <c r="I148" s="221" t="s">
        <v>18</v>
      </c>
      <c r="J148" s="252">
        <f t="shared" ref="J148:P148" si="25">SUM(J141:J145)</f>
        <v>75</v>
      </c>
      <c r="K148" s="252">
        <f t="shared" si="25"/>
        <v>79</v>
      </c>
      <c r="L148" s="252">
        <f t="shared" si="25"/>
        <v>106</v>
      </c>
      <c r="M148" s="252">
        <f t="shared" si="25"/>
        <v>120</v>
      </c>
      <c r="N148" s="252">
        <f t="shared" si="25"/>
        <v>139</v>
      </c>
      <c r="O148" s="252">
        <f t="shared" si="25"/>
        <v>152</v>
      </c>
      <c r="P148" s="252">
        <f t="shared" si="25"/>
        <v>173</v>
      </c>
      <c r="Q148" s="252">
        <f>SUM(Q141:Q145)</f>
        <v>267</v>
      </c>
      <c r="R148" s="252">
        <f>SUM(R141:R146)</f>
        <v>166</v>
      </c>
      <c r="S148" s="204"/>
      <c r="T148" s="204"/>
      <c r="U148" s="201"/>
      <c r="V148" s="201"/>
      <c r="W148" s="201"/>
    </row>
    <row r="149" spans="9:27">
      <c r="I149" s="212" t="s">
        <v>519</v>
      </c>
      <c r="J149" s="252"/>
      <c r="K149" s="252"/>
      <c r="L149" s="252"/>
      <c r="M149" s="252"/>
      <c r="N149" s="252"/>
      <c r="O149" s="252"/>
      <c r="P149" s="252"/>
      <c r="Q149" s="267"/>
      <c r="R149" s="270"/>
      <c r="S149" s="204"/>
      <c r="T149" s="204"/>
      <c r="U149" s="201"/>
      <c r="V149" s="201"/>
      <c r="W149" s="201"/>
    </row>
    <row r="150" spans="9:27">
      <c r="I150" s="221" t="s">
        <v>516</v>
      </c>
      <c r="J150" s="252"/>
      <c r="K150" s="252"/>
      <c r="L150" s="252"/>
      <c r="M150" s="252"/>
      <c r="N150" s="252"/>
      <c r="O150" s="252"/>
      <c r="P150" s="252"/>
      <c r="Q150" s="252"/>
      <c r="R150" s="269"/>
      <c r="S150" s="204"/>
      <c r="T150" s="204"/>
      <c r="U150" s="201"/>
      <c r="V150" s="201"/>
      <c r="W150" s="201"/>
    </row>
    <row r="151" spans="9:27">
      <c r="I151" s="221" t="s">
        <v>78</v>
      </c>
      <c r="J151" s="253">
        <f t="shared" ref="J151:P151" si="26">J148/J29</f>
        <v>2.2727272727272729</v>
      </c>
      <c r="K151" s="253">
        <f t="shared" si="26"/>
        <v>2.2571428571428571</v>
      </c>
      <c r="L151" s="253">
        <f t="shared" si="26"/>
        <v>3.2121212121212119</v>
      </c>
      <c r="M151" s="253">
        <f t="shared" si="26"/>
        <v>3.1578947368421053</v>
      </c>
      <c r="N151" s="253">
        <f t="shared" si="26"/>
        <v>3.7567567567567566</v>
      </c>
      <c r="O151" s="253">
        <f t="shared" si="26"/>
        <v>4.2222222222222223</v>
      </c>
      <c r="P151" s="253">
        <f t="shared" si="26"/>
        <v>4.9428571428571431</v>
      </c>
      <c r="Q151" s="253">
        <f>Q148/Q29</f>
        <v>5.5625</v>
      </c>
      <c r="R151" s="253">
        <f>R148/R29</f>
        <v>3.1923076923076925</v>
      </c>
      <c r="S151" s="204"/>
      <c r="T151" s="204"/>
      <c r="U151" s="201"/>
      <c r="V151" s="201"/>
      <c r="W151" s="201"/>
    </row>
    <row r="152" spans="9:27" s="204" customFormat="1"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71"/>
      <c r="Y152" s="229"/>
    </row>
    <row r="153" spans="9:27" s="204" customFormat="1">
      <c r="J153" s="214"/>
      <c r="K153" s="214"/>
      <c r="L153" s="214"/>
      <c r="M153" s="214"/>
      <c r="N153" s="205"/>
      <c r="O153" s="214"/>
      <c r="P153" s="205"/>
      <c r="Q153" s="205"/>
      <c r="R153" s="205"/>
      <c r="S153" s="205"/>
      <c r="T153" s="205"/>
      <c r="U153" s="214"/>
      <c r="V153" s="214"/>
      <c r="W153" s="214"/>
      <c r="X153" s="214"/>
    </row>
    <row r="154" spans="9:27" ht="15">
      <c r="I154" s="219" t="s">
        <v>598</v>
      </c>
      <c r="J154" s="272" t="s">
        <v>2</v>
      </c>
      <c r="K154" s="272" t="s">
        <v>22</v>
      </c>
      <c r="L154" s="272" t="s">
        <v>25</v>
      </c>
      <c r="M154" s="272" t="s">
        <v>44</v>
      </c>
      <c r="N154" s="272" t="s">
        <v>55</v>
      </c>
      <c r="O154" s="272" t="s">
        <v>70</v>
      </c>
      <c r="P154" s="272" t="s">
        <v>72</v>
      </c>
      <c r="Q154" s="272" t="s">
        <v>412</v>
      </c>
      <c r="R154" s="210">
        <v>2013</v>
      </c>
      <c r="S154" s="211"/>
      <c r="T154" s="211"/>
      <c r="U154" s="201"/>
      <c r="V154" s="201"/>
      <c r="W154" s="201"/>
    </row>
    <row r="155" spans="9:27">
      <c r="I155" s="221" t="s">
        <v>59</v>
      </c>
      <c r="J155" s="199">
        <v>1</v>
      </c>
      <c r="K155" s="199">
        <v>6</v>
      </c>
      <c r="L155" s="199">
        <v>17</v>
      </c>
      <c r="M155" s="199">
        <v>7</v>
      </c>
      <c r="N155" s="199">
        <v>12</v>
      </c>
      <c r="O155" s="213">
        <v>15</v>
      </c>
      <c r="P155" s="199">
        <v>16</v>
      </c>
      <c r="Q155" s="199">
        <f>34-13</f>
        <v>21</v>
      </c>
      <c r="R155" s="199">
        <v>45</v>
      </c>
      <c r="S155" s="204"/>
      <c r="T155" s="204"/>
      <c r="U155" s="201"/>
      <c r="V155" s="201"/>
      <c r="W155" s="201"/>
    </row>
    <row r="156" spans="9:27">
      <c r="I156" s="221" t="s">
        <v>60</v>
      </c>
      <c r="J156" s="199">
        <v>1</v>
      </c>
      <c r="K156" s="199">
        <v>2</v>
      </c>
      <c r="L156" s="199">
        <v>1</v>
      </c>
      <c r="M156" s="199">
        <v>5</v>
      </c>
      <c r="N156" s="199">
        <v>11</v>
      </c>
      <c r="O156" s="213">
        <v>15</v>
      </c>
      <c r="P156" s="199">
        <v>12</v>
      </c>
      <c r="Q156" s="199">
        <v>26</v>
      </c>
      <c r="R156" s="199">
        <v>29</v>
      </c>
      <c r="S156" s="204"/>
      <c r="T156" s="204"/>
      <c r="U156" s="201"/>
      <c r="V156" s="201"/>
      <c r="W156" s="201"/>
    </row>
    <row r="157" spans="9:27">
      <c r="I157" s="221" t="s">
        <v>353</v>
      </c>
      <c r="J157" s="199">
        <v>2.4</v>
      </c>
      <c r="K157" s="199">
        <v>2.6</v>
      </c>
      <c r="L157" s="199">
        <v>2.7</v>
      </c>
      <c r="M157" s="199">
        <v>2.7</v>
      </c>
      <c r="N157" s="199">
        <v>2.5</v>
      </c>
      <c r="O157" s="273">
        <v>3</v>
      </c>
      <c r="P157" s="199">
        <v>2.9</v>
      </c>
      <c r="Q157" s="199">
        <v>2.4</v>
      </c>
      <c r="R157" s="199">
        <v>2.7</v>
      </c>
      <c r="S157" s="204"/>
      <c r="T157" s="204"/>
      <c r="U157" s="201"/>
      <c r="V157" s="201"/>
      <c r="W157" s="201"/>
    </row>
    <row r="158" spans="9:27">
      <c r="I158" s="221" t="s">
        <v>352</v>
      </c>
      <c r="J158" s="199">
        <v>2.6</v>
      </c>
      <c r="K158" s="199">
        <v>3</v>
      </c>
      <c r="L158" s="199">
        <v>3.3</v>
      </c>
      <c r="M158" s="273">
        <v>3.6</v>
      </c>
      <c r="N158" s="199">
        <v>4.2</v>
      </c>
      <c r="O158" s="199">
        <v>4.9000000000000004</v>
      </c>
      <c r="P158" s="199">
        <v>4.5</v>
      </c>
      <c r="Q158" s="199">
        <v>4.3</v>
      </c>
      <c r="R158" s="273">
        <v>5.2</v>
      </c>
      <c r="S158" s="204"/>
      <c r="T158" s="204"/>
      <c r="U158" s="201"/>
      <c r="V158" s="201"/>
      <c r="W158" s="201"/>
    </row>
    <row r="159" spans="9:27">
      <c r="I159" s="221" t="s">
        <v>334</v>
      </c>
      <c r="J159" s="199"/>
      <c r="K159" s="199"/>
      <c r="L159" s="199"/>
      <c r="M159" s="273">
        <f t="shared" ref="M159:R159" si="27">(M155+M156)/M29</f>
        <v>0.31578947368421051</v>
      </c>
      <c r="N159" s="273">
        <f t="shared" si="27"/>
        <v>0.6216216216216216</v>
      </c>
      <c r="O159" s="273">
        <f t="shared" si="27"/>
        <v>0.83333333333333337</v>
      </c>
      <c r="P159" s="273">
        <f t="shared" si="27"/>
        <v>0.8</v>
      </c>
      <c r="Q159" s="273">
        <f t="shared" si="27"/>
        <v>0.97916666666666663</v>
      </c>
      <c r="R159" s="273">
        <f t="shared" si="27"/>
        <v>1.4230769230769231</v>
      </c>
      <c r="S159" s="204"/>
      <c r="T159" s="204"/>
      <c r="U159" s="201"/>
      <c r="V159" s="201"/>
      <c r="W159" s="201"/>
    </row>
    <row r="160" spans="9:27">
      <c r="I160" s="221"/>
      <c r="J160" s="199"/>
      <c r="K160" s="199"/>
      <c r="L160" s="199"/>
      <c r="M160" s="273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204"/>
      <c r="AA160" s="204"/>
    </row>
    <row r="161" spans="9:27" s="204" customFormat="1">
      <c r="J161" s="205"/>
      <c r="K161" s="205"/>
      <c r="L161" s="205"/>
      <c r="M161" s="230"/>
      <c r="N161" s="205"/>
      <c r="O161" s="205"/>
      <c r="P161" s="205"/>
      <c r="Q161" s="205"/>
      <c r="R161" s="205"/>
      <c r="S161" s="205"/>
      <c r="T161" s="205"/>
      <c r="U161" s="205"/>
      <c r="V161" s="205"/>
      <c r="W161" s="214"/>
      <c r="X161" s="229"/>
      <c r="Y161" s="229"/>
    </row>
    <row r="162" spans="9:27" ht="15" hidden="1">
      <c r="I162" s="191" t="s">
        <v>490</v>
      </c>
      <c r="J162" s="274"/>
      <c r="K162" s="274"/>
      <c r="L162" s="274"/>
      <c r="M162" s="274"/>
      <c r="N162" s="260"/>
      <c r="O162" s="274"/>
      <c r="P162" s="260"/>
      <c r="Q162" s="260"/>
      <c r="R162" s="260"/>
      <c r="S162" s="260"/>
      <c r="T162" s="260"/>
      <c r="U162" s="274"/>
      <c r="V162" s="274"/>
      <c r="W162" s="274"/>
      <c r="Z162" s="204"/>
      <c r="AA162" s="204"/>
    </row>
    <row r="163" spans="9:27" ht="15" hidden="1">
      <c r="I163" s="190" t="s">
        <v>491</v>
      </c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6" t="s">
        <v>494</v>
      </c>
      <c r="V163" s="276" t="s">
        <v>495</v>
      </c>
      <c r="W163" s="276" t="s">
        <v>496</v>
      </c>
      <c r="X163" s="238"/>
      <c r="Z163" s="204"/>
      <c r="AA163" s="204"/>
    </row>
    <row r="164" spans="9:27" hidden="1">
      <c r="I164" s="190" t="s">
        <v>492</v>
      </c>
      <c r="J164" s="260"/>
      <c r="K164" s="260"/>
      <c r="L164" s="260"/>
      <c r="M164" s="260"/>
      <c r="N164" s="260"/>
      <c r="O164" s="274"/>
      <c r="P164" s="260"/>
      <c r="Q164" s="260"/>
      <c r="R164" s="260"/>
      <c r="S164" s="260"/>
      <c r="T164" s="260"/>
      <c r="U164" s="260"/>
      <c r="V164" s="260"/>
      <c r="W164" s="260"/>
      <c r="X164" s="238"/>
      <c r="Y164" s="238"/>
      <c r="Z164" s="204"/>
      <c r="AA164" s="204"/>
    </row>
    <row r="165" spans="9:27" hidden="1">
      <c r="I165" s="190" t="s">
        <v>493</v>
      </c>
      <c r="J165" s="260"/>
      <c r="K165" s="260"/>
      <c r="L165" s="260"/>
      <c r="M165" s="260"/>
      <c r="N165" s="260"/>
      <c r="O165" s="274"/>
      <c r="P165" s="260"/>
      <c r="Q165" s="260"/>
      <c r="R165" s="260"/>
      <c r="S165" s="260"/>
      <c r="T165" s="260"/>
      <c r="U165" s="260"/>
      <c r="V165" s="260">
        <v>34</v>
      </c>
      <c r="W165" s="260">
        <v>26</v>
      </c>
      <c r="X165" s="238"/>
      <c r="Y165" s="238"/>
      <c r="Z165" s="204"/>
      <c r="AA165" s="204"/>
    </row>
    <row r="166" spans="9:27" hidden="1">
      <c r="I166" s="190" t="s">
        <v>21</v>
      </c>
      <c r="J166" s="260"/>
      <c r="K166" s="260"/>
      <c r="L166" s="260"/>
      <c r="M166" s="277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38"/>
      <c r="Y166" s="238"/>
      <c r="Z166" s="204"/>
      <c r="AA166" s="204"/>
    </row>
    <row r="167" spans="9:27" hidden="1">
      <c r="I167" s="190"/>
      <c r="J167" s="260"/>
      <c r="K167" s="260"/>
      <c r="L167" s="260"/>
      <c r="M167" s="277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38"/>
      <c r="Y167" s="238"/>
      <c r="Z167" s="204"/>
      <c r="AA167" s="204"/>
    </row>
    <row r="168" spans="9:27" hidden="1">
      <c r="I168" s="190" t="s">
        <v>539</v>
      </c>
      <c r="J168" s="260"/>
      <c r="K168" s="260"/>
      <c r="L168" s="260"/>
      <c r="M168" s="277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38"/>
      <c r="Y168" s="238"/>
      <c r="Z168" s="204"/>
      <c r="AA168" s="204"/>
    </row>
    <row r="169" spans="9:27" hidden="1">
      <c r="I169" s="190" t="s">
        <v>36</v>
      </c>
      <c r="J169" s="260"/>
      <c r="K169" s="260"/>
      <c r="L169" s="260"/>
      <c r="M169" s="277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38"/>
      <c r="Y169" s="238"/>
      <c r="Z169" s="204"/>
      <c r="AA169" s="204"/>
    </row>
    <row r="170" spans="9:27" hidden="1">
      <c r="I170" s="190" t="s">
        <v>34</v>
      </c>
      <c r="J170" s="260"/>
      <c r="K170" s="260"/>
      <c r="L170" s="260"/>
      <c r="M170" s="277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38"/>
      <c r="Y170" s="238"/>
      <c r="Z170" s="204"/>
      <c r="AA170" s="204"/>
    </row>
    <row r="171" spans="9:27" hidden="1">
      <c r="I171" s="190" t="s">
        <v>37</v>
      </c>
      <c r="J171" s="260"/>
      <c r="K171" s="260"/>
      <c r="L171" s="260"/>
      <c r="M171" s="277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38"/>
      <c r="Y171" s="238"/>
      <c r="Z171" s="204"/>
      <c r="AA171" s="204"/>
    </row>
    <row r="172" spans="9:27" hidden="1">
      <c r="I172" s="190" t="s">
        <v>540</v>
      </c>
      <c r="J172" s="260"/>
      <c r="K172" s="260"/>
      <c r="L172" s="260"/>
      <c r="M172" s="277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38"/>
      <c r="Y172" s="238"/>
      <c r="Z172" s="204"/>
      <c r="AA172" s="204"/>
    </row>
    <row r="173" spans="9:27" hidden="1">
      <c r="I173" s="190" t="s">
        <v>5</v>
      </c>
      <c r="J173" s="260"/>
      <c r="K173" s="260"/>
      <c r="L173" s="260"/>
      <c r="M173" s="277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38"/>
      <c r="Y173" s="238"/>
      <c r="Z173" s="204"/>
      <c r="AA173" s="204"/>
    </row>
    <row r="174" spans="9:27" hidden="1">
      <c r="I174" s="190" t="s">
        <v>6</v>
      </c>
      <c r="J174" s="260"/>
      <c r="K174" s="260"/>
      <c r="L174" s="260"/>
      <c r="M174" s="277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38"/>
      <c r="Y174" s="238"/>
      <c r="Z174" s="204"/>
      <c r="AA174" s="204"/>
    </row>
    <row r="175" spans="9:27" hidden="1">
      <c r="I175" s="190"/>
      <c r="J175" s="260"/>
      <c r="K175" s="260"/>
      <c r="L175" s="260"/>
      <c r="M175" s="277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38"/>
      <c r="Y175" s="238"/>
      <c r="Z175" s="204"/>
      <c r="AA175" s="204"/>
    </row>
    <row r="176" spans="9:27" hidden="1">
      <c r="I176" s="190" t="s">
        <v>541</v>
      </c>
      <c r="J176" s="260"/>
      <c r="K176" s="260"/>
      <c r="L176" s="260"/>
      <c r="M176" s="277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38"/>
      <c r="Y176" s="238"/>
      <c r="Z176" s="204"/>
      <c r="AA176" s="204"/>
    </row>
    <row r="177" spans="9:27" hidden="1">
      <c r="I177" s="190" t="s">
        <v>36</v>
      </c>
      <c r="J177" s="260"/>
      <c r="K177" s="260"/>
      <c r="L177" s="260"/>
      <c r="M177" s="277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38"/>
      <c r="Y177" s="238"/>
      <c r="Z177" s="204"/>
      <c r="AA177" s="204"/>
    </row>
    <row r="178" spans="9:27" hidden="1">
      <c r="I178" s="190" t="s">
        <v>34</v>
      </c>
      <c r="J178" s="260"/>
      <c r="K178" s="260"/>
      <c r="L178" s="260"/>
      <c r="M178" s="277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38"/>
      <c r="Y178" s="238"/>
      <c r="Z178" s="204"/>
      <c r="AA178" s="204"/>
    </row>
    <row r="179" spans="9:27" hidden="1">
      <c r="I179" s="190" t="s">
        <v>37</v>
      </c>
      <c r="J179" s="260"/>
      <c r="K179" s="260"/>
      <c r="L179" s="260"/>
      <c r="M179" s="277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38"/>
      <c r="Y179" s="238"/>
      <c r="Z179" s="204"/>
      <c r="AA179" s="204"/>
    </row>
    <row r="180" spans="9:27" hidden="1">
      <c r="I180" s="190" t="s">
        <v>540</v>
      </c>
      <c r="J180" s="260"/>
      <c r="K180" s="260"/>
      <c r="L180" s="260"/>
      <c r="M180" s="277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38"/>
      <c r="Y180" s="238"/>
      <c r="Z180" s="204"/>
      <c r="AA180" s="204"/>
    </row>
    <row r="181" spans="9:27" hidden="1">
      <c r="I181" s="190" t="s">
        <v>5</v>
      </c>
      <c r="J181" s="260"/>
      <c r="K181" s="260"/>
      <c r="L181" s="260"/>
      <c r="M181" s="277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38"/>
      <c r="Y181" s="238"/>
      <c r="Z181" s="204"/>
      <c r="AA181" s="204"/>
    </row>
    <row r="182" spans="9:27" hidden="1">
      <c r="I182" s="190" t="s">
        <v>6</v>
      </c>
      <c r="J182" s="260"/>
      <c r="K182" s="260"/>
      <c r="L182" s="260"/>
      <c r="M182" s="277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38"/>
      <c r="Y182" s="238"/>
      <c r="Z182" s="204"/>
      <c r="AA182" s="204"/>
    </row>
    <row r="183" spans="9:27" hidden="1">
      <c r="I183" s="190"/>
      <c r="J183" s="260"/>
      <c r="K183" s="260"/>
      <c r="L183" s="260"/>
      <c r="M183" s="277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38"/>
      <c r="Y183" s="238"/>
      <c r="Z183" s="204"/>
      <c r="AA183" s="204"/>
    </row>
    <row r="184" spans="9:27" ht="15" hidden="1">
      <c r="I184" s="191" t="s">
        <v>542</v>
      </c>
      <c r="J184" s="260"/>
      <c r="K184" s="260"/>
      <c r="L184" s="260"/>
      <c r="M184" s="277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38"/>
      <c r="Y184" s="238"/>
      <c r="Z184" s="204"/>
      <c r="AA184" s="204"/>
    </row>
    <row r="185" spans="9:27" hidden="1">
      <c r="I185" s="190" t="s">
        <v>543</v>
      </c>
      <c r="J185" s="260"/>
      <c r="K185" s="260"/>
      <c r="L185" s="260"/>
      <c r="M185" s="277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38"/>
      <c r="Y185" s="238"/>
      <c r="Z185" s="204"/>
      <c r="AA185" s="204"/>
    </row>
    <row r="186" spans="9:27" hidden="1">
      <c r="I186" s="190" t="s">
        <v>544</v>
      </c>
      <c r="J186" s="260"/>
      <c r="K186" s="260"/>
      <c r="L186" s="260"/>
      <c r="M186" s="277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38"/>
      <c r="Y186" s="238"/>
      <c r="Z186" s="204"/>
      <c r="AA186" s="204"/>
    </row>
    <row r="187" spans="9:27" hidden="1">
      <c r="I187" s="190" t="s">
        <v>545</v>
      </c>
      <c r="J187" s="260"/>
      <c r="K187" s="260"/>
      <c r="L187" s="260"/>
      <c r="M187" s="277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38"/>
      <c r="Y187" s="238"/>
      <c r="Z187" s="204"/>
      <c r="AA187" s="204"/>
    </row>
    <row r="188" spans="9:27" hidden="1">
      <c r="I188" s="190"/>
      <c r="J188" s="260"/>
      <c r="K188" s="260"/>
      <c r="L188" s="260"/>
      <c r="M188" s="277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38"/>
      <c r="Y188" s="238"/>
      <c r="Z188" s="204"/>
      <c r="AA188" s="204"/>
    </row>
    <row r="189" spans="9:27" ht="15" hidden="1">
      <c r="I189" s="191" t="s">
        <v>546</v>
      </c>
      <c r="J189" s="260"/>
      <c r="K189" s="260"/>
      <c r="L189" s="260"/>
      <c r="M189" s="277"/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38"/>
      <c r="Y189" s="238"/>
      <c r="Z189" s="204"/>
      <c r="AA189" s="204"/>
    </row>
    <row r="190" spans="9:27" hidden="1">
      <c r="I190" s="190"/>
      <c r="J190" s="260"/>
      <c r="K190" s="260"/>
      <c r="L190" s="260"/>
      <c r="M190" s="277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38"/>
      <c r="Y190" s="238"/>
      <c r="Z190" s="204"/>
      <c r="AA190" s="204"/>
    </row>
    <row r="191" spans="9:27" hidden="1">
      <c r="I191" s="190"/>
      <c r="J191" s="260"/>
      <c r="K191" s="260"/>
      <c r="L191" s="260"/>
      <c r="M191" s="277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38"/>
      <c r="Y191" s="238"/>
      <c r="Z191" s="204"/>
      <c r="AA191" s="204"/>
    </row>
    <row r="192" spans="9:27" ht="15">
      <c r="I192" s="219" t="s">
        <v>547</v>
      </c>
      <c r="J192" s="199"/>
      <c r="K192" s="199"/>
      <c r="L192" s="199"/>
      <c r="M192" s="273"/>
      <c r="N192" s="199"/>
      <c r="O192" s="199"/>
      <c r="P192" s="199"/>
      <c r="Q192" s="199"/>
      <c r="R192" s="199"/>
      <c r="S192" s="199"/>
      <c r="T192" s="199"/>
      <c r="U192" s="278">
        <v>2009</v>
      </c>
      <c r="V192" s="278">
        <v>2010</v>
      </c>
      <c r="W192" s="278">
        <v>2011</v>
      </c>
      <c r="X192" s="278">
        <v>2012</v>
      </c>
      <c r="Y192" s="278">
        <v>2013</v>
      </c>
      <c r="Z192" s="204"/>
      <c r="AA192" s="204"/>
    </row>
    <row r="193" spans="9:27">
      <c r="I193" s="221" t="s">
        <v>548</v>
      </c>
      <c r="J193" s="199"/>
      <c r="K193" s="199"/>
      <c r="L193" s="199"/>
      <c r="M193" s="273"/>
      <c r="N193" s="199"/>
      <c r="O193" s="199"/>
      <c r="P193" s="199"/>
      <c r="Q193" s="199"/>
      <c r="R193" s="199"/>
      <c r="S193" s="199"/>
      <c r="T193" s="199"/>
      <c r="U193" s="256">
        <v>6</v>
      </c>
      <c r="V193" s="256">
        <v>12</v>
      </c>
      <c r="W193" s="256">
        <v>22</v>
      </c>
      <c r="X193" s="256">
        <v>28</v>
      </c>
      <c r="Y193" s="256">
        <v>36</v>
      </c>
      <c r="Z193" s="204"/>
      <c r="AA193" s="204"/>
    </row>
    <row r="194" spans="9:27">
      <c r="I194" s="221" t="s">
        <v>549</v>
      </c>
      <c r="J194" s="199"/>
      <c r="K194" s="199"/>
      <c r="L194" s="199"/>
      <c r="M194" s="273"/>
      <c r="N194" s="199"/>
      <c r="O194" s="199"/>
      <c r="P194" s="199"/>
      <c r="Q194" s="199"/>
      <c r="R194" s="199"/>
      <c r="S194" s="199"/>
      <c r="T194" s="199"/>
      <c r="U194" s="198">
        <v>6069</v>
      </c>
      <c r="V194" s="198">
        <v>31921</v>
      </c>
      <c r="W194" s="198">
        <v>27611</v>
      </c>
      <c r="X194" s="198">
        <v>42580</v>
      </c>
      <c r="Y194" s="198">
        <v>57402</v>
      </c>
      <c r="Z194" s="204"/>
      <c r="AA194" s="204"/>
    </row>
    <row r="195" spans="9:27">
      <c r="I195" s="221" t="s">
        <v>550</v>
      </c>
      <c r="J195" s="199"/>
      <c r="K195" s="199"/>
      <c r="L195" s="199"/>
      <c r="M195" s="273"/>
      <c r="N195" s="199"/>
      <c r="O195" s="199"/>
      <c r="P195" s="199"/>
      <c r="Q195" s="199"/>
      <c r="R195" s="199"/>
      <c r="S195" s="199"/>
      <c r="T195" s="199"/>
      <c r="U195" s="198">
        <f>U194/U193</f>
        <v>1011.5</v>
      </c>
      <c r="V195" s="198">
        <f t="shared" ref="V195:Y195" si="28">V194/V193</f>
        <v>2660.0833333333335</v>
      </c>
      <c r="W195" s="198">
        <f t="shared" si="28"/>
        <v>1255.0454545454545</v>
      </c>
      <c r="X195" s="198">
        <f t="shared" si="28"/>
        <v>1520.7142857142858</v>
      </c>
      <c r="Y195" s="198">
        <f t="shared" si="28"/>
        <v>1594.5</v>
      </c>
    </row>
    <row r="196" spans="9:27">
      <c r="I196" s="221" t="s">
        <v>551</v>
      </c>
      <c r="J196" s="199"/>
      <c r="K196" s="199"/>
      <c r="L196" s="199"/>
      <c r="M196" s="273"/>
      <c r="N196" s="199"/>
      <c r="O196" s="199"/>
      <c r="P196" s="199"/>
      <c r="Q196" s="199"/>
      <c r="R196" s="199"/>
      <c r="S196" s="199"/>
      <c r="T196" s="199"/>
      <c r="U196" s="199"/>
      <c r="V196" s="200">
        <f t="shared" ref="V196:Y197" si="29">V193/U193-1</f>
        <v>1</v>
      </c>
      <c r="W196" s="200">
        <f t="shared" si="29"/>
        <v>0.83333333333333326</v>
      </c>
      <c r="X196" s="200">
        <f t="shared" si="29"/>
        <v>0.27272727272727271</v>
      </c>
      <c r="Y196" s="200">
        <f t="shared" si="29"/>
        <v>0.28571428571428581</v>
      </c>
    </row>
    <row r="197" spans="9:27">
      <c r="I197" s="221" t="s">
        <v>552</v>
      </c>
      <c r="J197" s="199"/>
      <c r="K197" s="199"/>
      <c r="L197" s="199"/>
      <c r="M197" s="273"/>
      <c r="N197" s="199"/>
      <c r="O197" s="199"/>
      <c r="P197" s="199"/>
      <c r="Q197" s="199"/>
      <c r="R197" s="199"/>
      <c r="S197" s="199"/>
      <c r="T197" s="199"/>
      <c r="U197" s="199"/>
      <c r="V197" s="200">
        <f t="shared" si="29"/>
        <v>4.2596803427253258</v>
      </c>
      <c r="W197" s="200">
        <f t="shared" si="29"/>
        <v>-0.13502083268068044</v>
      </c>
      <c r="X197" s="200">
        <f t="shared" si="29"/>
        <v>0.54213900257143899</v>
      </c>
      <c r="Y197" s="200">
        <f t="shared" si="29"/>
        <v>0.34809769844997662</v>
      </c>
    </row>
    <row r="198" spans="9:27">
      <c r="I198" s="221" t="s">
        <v>553</v>
      </c>
      <c r="J198" s="199"/>
      <c r="K198" s="199"/>
      <c r="L198" s="199"/>
      <c r="M198" s="273"/>
      <c r="N198" s="199"/>
      <c r="O198" s="199"/>
      <c r="P198" s="199"/>
      <c r="Q198" s="199"/>
      <c r="R198" s="199"/>
      <c r="S198" s="199"/>
      <c r="T198" s="199"/>
      <c r="U198" s="199"/>
      <c r="V198" s="200"/>
      <c r="W198" s="200"/>
      <c r="X198" s="200"/>
      <c r="Y198" s="200">
        <f>Y193/U193-1</f>
        <v>5</v>
      </c>
    </row>
    <row r="199" spans="9:27">
      <c r="I199" s="221" t="s">
        <v>554</v>
      </c>
      <c r="J199" s="199"/>
      <c r="K199" s="199"/>
      <c r="L199" s="199"/>
      <c r="M199" s="273"/>
      <c r="N199" s="199"/>
      <c r="O199" s="199"/>
      <c r="P199" s="199"/>
      <c r="Q199" s="199"/>
      <c r="R199" s="199"/>
      <c r="S199" s="199"/>
      <c r="T199" s="199"/>
      <c r="U199" s="199"/>
      <c r="V199" s="200"/>
      <c r="W199" s="200"/>
      <c r="X199" s="200"/>
      <c r="Y199" s="200">
        <f>Y194/U194-1</f>
        <v>8.4582303509639143</v>
      </c>
    </row>
    <row r="200" spans="9:27">
      <c r="I200" s="190"/>
      <c r="J200" s="260"/>
      <c r="K200" s="260"/>
      <c r="L200" s="260"/>
      <c r="M200" s="277"/>
      <c r="N200" s="260"/>
      <c r="O200" s="260"/>
      <c r="P200" s="260"/>
      <c r="Q200" s="260"/>
      <c r="R200" s="260"/>
      <c r="S200" s="260"/>
      <c r="T200" s="260"/>
      <c r="U200" s="260"/>
      <c r="V200" s="260"/>
      <c r="W200" s="260"/>
      <c r="X200" s="238"/>
      <c r="Y200" s="238"/>
    </row>
    <row r="201" spans="9:27" ht="15">
      <c r="I201" s="191" t="s">
        <v>555</v>
      </c>
      <c r="J201" s="260"/>
      <c r="K201" s="260"/>
      <c r="L201" s="260"/>
      <c r="M201" s="277"/>
      <c r="N201" s="260"/>
      <c r="O201" s="260"/>
      <c r="P201" s="260"/>
      <c r="Q201" s="260"/>
      <c r="R201" s="260"/>
      <c r="S201" s="260"/>
      <c r="T201" s="260"/>
      <c r="U201" s="260"/>
      <c r="V201" s="260"/>
      <c r="W201" s="260"/>
      <c r="X201" s="238"/>
      <c r="Y201" s="238"/>
    </row>
    <row r="202" spans="9:27">
      <c r="I202" s="190" t="s">
        <v>556</v>
      </c>
      <c r="J202" s="260"/>
      <c r="K202" s="260"/>
      <c r="L202" s="260"/>
      <c r="M202" s="277"/>
      <c r="N202" s="260"/>
      <c r="O202" s="260"/>
      <c r="P202" s="260"/>
      <c r="Q202" s="260"/>
      <c r="R202" s="260"/>
      <c r="S202" s="260"/>
      <c r="T202" s="260"/>
      <c r="U202" s="260"/>
      <c r="V202" s="260"/>
      <c r="W202" s="260"/>
      <c r="X202" s="238"/>
      <c r="Y202" s="238"/>
    </row>
    <row r="203" spans="9:27">
      <c r="I203" s="190" t="s">
        <v>557</v>
      </c>
      <c r="J203" s="260"/>
      <c r="K203" s="260"/>
      <c r="L203" s="260"/>
      <c r="M203" s="277"/>
      <c r="N203" s="260"/>
      <c r="O203" s="260"/>
      <c r="P203" s="260"/>
      <c r="Q203" s="260"/>
      <c r="R203" s="260"/>
      <c r="S203" s="260"/>
      <c r="T203" s="260"/>
      <c r="U203" s="260"/>
      <c r="V203" s="260"/>
      <c r="W203" s="260"/>
      <c r="X203" s="238"/>
      <c r="Y203" s="238"/>
    </row>
    <row r="204" spans="9:27">
      <c r="I204" s="190" t="s">
        <v>558</v>
      </c>
      <c r="J204" s="260"/>
      <c r="K204" s="260"/>
      <c r="L204" s="260"/>
      <c r="M204" s="277"/>
      <c r="N204" s="260"/>
      <c r="O204" s="260"/>
      <c r="P204" s="260"/>
      <c r="Q204" s="260"/>
      <c r="R204" s="260"/>
      <c r="S204" s="260"/>
      <c r="T204" s="260"/>
      <c r="U204" s="260"/>
      <c r="V204" s="260"/>
      <c r="W204" s="260"/>
      <c r="X204" s="238"/>
      <c r="Y204" s="238"/>
    </row>
    <row r="205" spans="9:27">
      <c r="I205" s="190" t="s">
        <v>41</v>
      </c>
      <c r="J205" s="260"/>
      <c r="K205" s="260"/>
      <c r="L205" s="260"/>
      <c r="M205" s="277"/>
      <c r="N205" s="260"/>
      <c r="O205" s="260"/>
      <c r="P205" s="260"/>
      <c r="Q205" s="260"/>
      <c r="R205" s="260"/>
      <c r="S205" s="260"/>
      <c r="T205" s="260"/>
      <c r="U205" s="260"/>
      <c r="V205" s="260"/>
      <c r="W205" s="260"/>
      <c r="X205" s="238"/>
      <c r="Y205" s="238"/>
    </row>
    <row r="206" spans="9:27">
      <c r="I206" s="190" t="s">
        <v>21</v>
      </c>
      <c r="J206" s="260"/>
      <c r="K206" s="260"/>
      <c r="L206" s="260"/>
      <c r="M206" s="277"/>
      <c r="N206" s="260"/>
      <c r="O206" s="260"/>
      <c r="P206" s="260"/>
      <c r="Q206" s="260"/>
      <c r="R206" s="260"/>
      <c r="S206" s="260"/>
      <c r="T206" s="260"/>
      <c r="U206" s="260"/>
      <c r="V206" s="260"/>
      <c r="W206" s="260"/>
      <c r="X206" s="238"/>
      <c r="Y206" s="238"/>
    </row>
    <row r="207" spans="9:27">
      <c r="I207" s="190"/>
      <c r="J207" s="260"/>
      <c r="K207" s="260"/>
      <c r="L207" s="260"/>
      <c r="M207" s="277"/>
      <c r="N207" s="260"/>
      <c r="O207" s="260"/>
      <c r="P207" s="260"/>
      <c r="Q207" s="260"/>
      <c r="R207" s="260"/>
      <c r="S207" s="260"/>
      <c r="T207" s="260"/>
      <c r="U207" s="260"/>
      <c r="V207" s="260"/>
      <c r="W207" s="260"/>
      <c r="X207" s="238"/>
      <c r="Y207" s="238"/>
    </row>
    <row r="208" spans="9:27" ht="15">
      <c r="I208" s="191" t="s">
        <v>559</v>
      </c>
      <c r="J208" s="260"/>
      <c r="K208" s="260"/>
      <c r="L208" s="260"/>
      <c r="M208" s="277"/>
      <c r="N208" s="260"/>
      <c r="O208" s="260"/>
      <c r="P208" s="260"/>
      <c r="Q208" s="260"/>
      <c r="R208" s="260"/>
      <c r="S208" s="260"/>
      <c r="T208" s="260"/>
      <c r="U208" s="276">
        <v>2004</v>
      </c>
      <c r="V208" s="276">
        <v>2009</v>
      </c>
      <c r="W208" s="276">
        <v>2013</v>
      </c>
      <c r="X208" s="238"/>
      <c r="Y208" s="238"/>
    </row>
    <row r="209" spans="9:25">
      <c r="I209" s="190" t="s">
        <v>560</v>
      </c>
      <c r="J209" s="260"/>
      <c r="K209" s="260"/>
      <c r="L209" s="260"/>
      <c r="M209" s="277"/>
      <c r="N209" s="260"/>
      <c r="O209" s="260"/>
      <c r="P209" s="260"/>
      <c r="Q209" s="260"/>
      <c r="R209" s="260"/>
      <c r="S209" s="260"/>
      <c r="T209" s="260"/>
      <c r="U209" s="198">
        <v>3174.14</v>
      </c>
      <c r="V209" s="198">
        <v>8124</v>
      </c>
      <c r="W209" s="198">
        <v>9968.5400000000009</v>
      </c>
      <c r="X209" s="238"/>
      <c r="Y209" s="238"/>
    </row>
    <row r="210" spans="9:25">
      <c r="I210" s="190" t="s">
        <v>561</v>
      </c>
      <c r="J210" s="260"/>
      <c r="K210" s="260"/>
      <c r="L210" s="260"/>
      <c r="M210" s="277"/>
      <c r="N210" s="260"/>
      <c r="O210" s="260"/>
      <c r="P210" s="260"/>
      <c r="Q210" s="260"/>
      <c r="R210" s="260"/>
      <c r="S210" s="260"/>
      <c r="T210" s="260"/>
      <c r="U210" s="198">
        <v>4227</v>
      </c>
      <c r="V210" s="198">
        <v>20019</v>
      </c>
      <c r="W210" s="198">
        <v>63985.56</v>
      </c>
      <c r="X210" s="238"/>
      <c r="Y210" s="238"/>
    </row>
    <row r="211" spans="9:25">
      <c r="I211" s="190" t="s">
        <v>562</v>
      </c>
      <c r="J211" s="260"/>
      <c r="K211" s="260"/>
      <c r="L211" s="260"/>
      <c r="M211" s="277"/>
      <c r="N211" s="260"/>
      <c r="O211" s="260"/>
      <c r="P211" s="260"/>
      <c r="Q211" s="260"/>
      <c r="R211" s="260"/>
      <c r="S211" s="260"/>
      <c r="T211" s="260"/>
      <c r="U211" s="198"/>
      <c r="V211" s="198">
        <v>8919</v>
      </c>
      <c r="W211" s="198">
        <v>7717.54</v>
      </c>
      <c r="X211" s="238"/>
      <c r="Y211" s="238">
        <f>7401-3174</f>
        <v>4227</v>
      </c>
    </row>
    <row r="212" spans="9:25">
      <c r="I212" s="190" t="s">
        <v>563</v>
      </c>
      <c r="J212" s="260"/>
      <c r="K212" s="260"/>
      <c r="L212" s="260"/>
      <c r="M212" s="277"/>
      <c r="N212" s="260"/>
      <c r="O212" s="260"/>
      <c r="P212" s="260"/>
      <c r="Q212" s="260"/>
      <c r="R212" s="260"/>
      <c r="S212" s="260"/>
      <c r="T212" s="260"/>
      <c r="U212" s="433"/>
      <c r="V212" s="260">
        <v>3191</v>
      </c>
      <c r="W212" s="260">
        <v>1907</v>
      </c>
      <c r="X212" s="238"/>
      <c r="Y212" s="238">
        <f>28143-8124</f>
        <v>20019</v>
      </c>
    </row>
    <row r="213" spans="9:25">
      <c r="I213" s="190" t="s">
        <v>564</v>
      </c>
      <c r="J213" s="260"/>
      <c r="K213" s="260"/>
      <c r="L213" s="260"/>
      <c r="M213" s="277"/>
      <c r="N213" s="260"/>
      <c r="O213" s="260"/>
      <c r="P213" s="260"/>
      <c r="Q213" s="260"/>
      <c r="R213" s="260"/>
      <c r="S213" s="260"/>
      <c r="T213" s="260"/>
      <c r="U213" s="433">
        <f>U209+U210</f>
        <v>7401.1399999999994</v>
      </c>
      <c r="V213" s="433">
        <f>V209+V210</f>
        <v>28143</v>
      </c>
      <c r="W213" s="433">
        <f>W209+W210</f>
        <v>73954.100000000006</v>
      </c>
      <c r="X213" s="238"/>
      <c r="Y213" s="238"/>
    </row>
    <row r="214" spans="9:25">
      <c r="I214" s="190"/>
      <c r="J214" s="260"/>
      <c r="K214" s="260"/>
      <c r="L214" s="260"/>
      <c r="M214" s="277"/>
      <c r="N214" s="260"/>
      <c r="O214" s="260"/>
      <c r="P214" s="260"/>
      <c r="Q214" s="260"/>
      <c r="R214" s="260"/>
      <c r="S214" s="260"/>
      <c r="T214" s="260"/>
      <c r="U214" s="260"/>
      <c r="V214" s="260"/>
      <c r="W214" s="260"/>
      <c r="X214" s="238"/>
      <c r="Y214" s="238"/>
    </row>
    <row r="215" spans="9:25" ht="15">
      <c r="I215" s="191" t="s">
        <v>65</v>
      </c>
      <c r="J215" s="260"/>
      <c r="K215" s="260"/>
      <c r="L215" s="260"/>
      <c r="M215" s="277"/>
      <c r="N215" s="260"/>
      <c r="O215" s="260"/>
      <c r="P215" s="260"/>
      <c r="Q215" s="260"/>
      <c r="R215" s="260"/>
      <c r="S215" s="260"/>
      <c r="T215" s="260"/>
      <c r="U215" s="260"/>
      <c r="V215" s="260"/>
      <c r="W215" s="260"/>
      <c r="X215" s="238"/>
      <c r="Y215" s="238"/>
    </row>
    <row r="216" spans="9:25">
      <c r="I216" s="190" t="s">
        <v>565</v>
      </c>
      <c r="J216" s="260"/>
      <c r="K216" s="260"/>
      <c r="L216" s="260"/>
      <c r="M216" s="277"/>
      <c r="N216" s="260"/>
      <c r="O216" s="260"/>
      <c r="P216" s="260"/>
      <c r="Q216" s="260"/>
      <c r="R216" s="260"/>
      <c r="S216" s="260"/>
      <c r="T216" s="260"/>
      <c r="U216" s="260"/>
      <c r="V216" s="260"/>
      <c r="W216" s="260"/>
      <c r="X216" s="238"/>
      <c r="Y216" s="238"/>
    </row>
    <row r="217" spans="9:25">
      <c r="I217" s="190" t="s">
        <v>23</v>
      </c>
      <c r="J217" s="260"/>
      <c r="K217" s="260"/>
      <c r="L217" s="260"/>
      <c r="M217" s="277"/>
      <c r="N217" s="260"/>
      <c r="O217" s="260"/>
      <c r="P217" s="260"/>
      <c r="Q217" s="260"/>
      <c r="R217" s="260"/>
      <c r="S217" s="260"/>
      <c r="T217" s="260"/>
      <c r="U217" s="260"/>
      <c r="V217" s="260"/>
      <c r="W217" s="260"/>
      <c r="X217" s="238"/>
      <c r="Y217" s="238"/>
    </row>
    <row r="218" spans="9:25">
      <c r="I218" s="190" t="s">
        <v>24</v>
      </c>
      <c r="J218" s="260"/>
      <c r="K218" s="260"/>
      <c r="L218" s="260"/>
      <c r="M218" s="277"/>
      <c r="N218" s="260"/>
      <c r="O218" s="260"/>
      <c r="P218" s="260"/>
      <c r="Q218" s="260"/>
      <c r="R218" s="260"/>
      <c r="S218" s="260"/>
      <c r="T218" s="260"/>
      <c r="U218" s="260"/>
      <c r="V218" s="260"/>
      <c r="W218" s="260"/>
      <c r="X218" s="238"/>
      <c r="Y218" s="238"/>
    </row>
    <row r="219" spans="9:25">
      <c r="I219" s="190" t="s">
        <v>21</v>
      </c>
      <c r="J219" s="260"/>
      <c r="K219" s="260"/>
      <c r="L219" s="260"/>
      <c r="M219" s="277"/>
      <c r="N219" s="260"/>
      <c r="O219" s="260"/>
      <c r="P219" s="260"/>
      <c r="Q219" s="260"/>
      <c r="R219" s="260"/>
      <c r="S219" s="260"/>
      <c r="T219" s="260"/>
      <c r="U219" s="260"/>
      <c r="V219" s="260"/>
      <c r="W219" s="260"/>
      <c r="X219" s="238"/>
      <c r="Y219" s="238"/>
    </row>
    <row r="220" spans="9:25">
      <c r="I220" s="190"/>
      <c r="J220" s="260"/>
      <c r="K220" s="260"/>
      <c r="L220" s="260"/>
      <c r="M220" s="277"/>
      <c r="N220" s="260"/>
      <c r="O220" s="260"/>
      <c r="P220" s="260"/>
      <c r="Q220" s="260"/>
      <c r="R220" s="260"/>
      <c r="S220" s="260"/>
      <c r="T220" s="260"/>
      <c r="U220" s="260"/>
      <c r="V220" s="260"/>
      <c r="W220" s="260"/>
      <c r="X220" s="238"/>
      <c r="Y220" s="238"/>
    </row>
    <row r="221" spans="9:25" ht="15">
      <c r="I221" s="191" t="s">
        <v>566</v>
      </c>
      <c r="J221" s="260"/>
      <c r="K221" s="260"/>
      <c r="L221" s="260"/>
      <c r="M221" s="277"/>
      <c r="N221" s="260"/>
      <c r="O221" s="260"/>
      <c r="P221" s="260"/>
      <c r="Q221" s="260"/>
      <c r="R221" s="260"/>
      <c r="S221" s="260"/>
      <c r="T221" s="260"/>
      <c r="U221" s="260"/>
      <c r="V221" s="260"/>
      <c r="W221" s="260"/>
      <c r="X221" s="238"/>
      <c r="Y221" s="238"/>
    </row>
    <row r="222" spans="9:25">
      <c r="I222" s="187" t="s">
        <v>567</v>
      </c>
      <c r="J222" s="260"/>
      <c r="K222" s="260"/>
      <c r="L222" s="260"/>
      <c r="M222" s="277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38"/>
      <c r="Y222" s="238"/>
    </row>
    <row r="223" spans="9:25">
      <c r="I223" s="187" t="s">
        <v>568</v>
      </c>
      <c r="J223" s="260"/>
      <c r="K223" s="260"/>
      <c r="L223" s="260"/>
      <c r="M223" s="277"/>
      <c r="N223" s="260"/>
      <c r="O223" s="260"/>
      <c r="P223" s="260"/>
      <c r="Q223" s="260"/>
      <c r="R223" s="260"/>
      <c r="S223" s="260"/>
      <c r="T223" s="260"/>
      <c r="U223" s="260"/>
      <c r="V223" s="260"/>
      <c r="W223" s="260"/>
      <c r="X223" s="238"/>
      <c r="Y223" s="238"/>
    </row>
    <row r="224" spans="9:25">
      <c r="I224" s="187" t="s">
        <v>21</v>
      </c>
      <c r="J224" s="260"/>
      <c r="K224" s="260"/>
      <c r="L224" s="260"/>
      <c r="M224" s="277"/>
      <c r="N224" s="260"/>
      <c r="O224" s="260"/>
      <c r="P224" s="260"/>
      <c r="Q224" s="260"/>
      <c r="R224" s="260"/>
      <c r="S224" s="260"/>
      <c r="T224" s="260"/>
      <c r="U224" s="260"/>
      <c r="V224" s="260"/>
      <c r="W224" s="260"/>
      <c r="X224" s="238"/>
      <c r="Y224" s="238"/>
    </row>
    <row r="225" spans="9:25">
      <c r="I225" s="187"/>
      <c r="J225" s="260"/>
      <c r="K225" s="260"/>
      <c r="L225" s="260"/>
      <c r="M225" s="277"/>
      <c r="N225" s="260"/>
      <c r="O225" s="260"/>
      <c r="P225" s="260"/>
      <c r="Q225" s="260"/>
      <c r="R225" s="260"/>
      <c r="S225" s="260"/>
      <c r="T225" s="260"/>
      <c r="U225" s="260"/>
      <c r="V225" s="260"/>
      <c r="W225" s="260"/>
      <c r="X225" s="238"/>
      <c r="Y225" s="238"/>
    </row>
    <row r="226" spans="9:25" ht="15">
      <c r="I226" s="191" t="s">
        <v>569</v>
      </c>
      <c r="J226" s="260"/>
      <c r="K226" s="260"/>
      <c r="L226" s="260"/>
      <c r="M226" s="277"/>
      <c r="N226" s="260"/>
      <c r="O226" s="260"/>
      <c r="P226" s="260"/>
      <c r="Q226" s="260"/>
      <c r="R226" s="260"/>
      <c r="S226" s="260"/>
      <c r="T226" s="260"/>
      <c r="U226" s="260"/>
      <c r="V226" s="260"/>
      <c r="W226" s="260"/>
      <c r="X226" s="238"/>
      <c r="Y226" s="238"/>
    </row>
    <row r="227" spans="9:25">
      <c r="I227" s="187" t="s">
        <v>570</v>
      </c>
      <c r="J227" s="260"/>
      <c r="K227" s="260"/>
      <c r="L227" s="260"/>
      <c r="M227" s="277"/>
      <c r="N227" s="260"/>
      <c r="O227" s="260"/>
      <c r="P227" s="260"/>
      <c r="Q227" s="260"/>
      <c r="R227" s="260"/>
      <c r="S227" s="260"/>
      <c r="T227" s="260"/>
      <c r="U227" s="260"/>
      <c r="V227" s="260"/>
      <c r="W227" s="260"/>
      <c r="X227" s="238"/>
      <c r="Y227" s="238"/>
    </row>
    <row r="228" spans="9:25">
      <c r="I228" s="187" t="s">
        <v>571</v>
      </c>
      <c r="J228" s="260"/>
      <c r="K228" s="260"/>
      <c r="L228" s="260"/>
      <c r="M228" s="277"/>
      <c r="N228" s="260"/>
      <c r="O228" s="260"/>
      <c r="P228" s="260"/>
      <c r="Q228" s="260"/>
      <c r="R228" s="260"/>
      <c r="S228" s="260"/>
      <c r="T228" s="260"/>
      <c r="U228" s="260"/>
      <c r="V228" s="260"/>
      <c r="W228" s="260"/>
      <c r="X228" s="238"/>
      <c r="Y228" s="238"/>
    </row>
    <row r="229" spans="9:25">
      <c r="I229" s="187" t="s">
        <v>572</v>
      </c>
      <c r="J229" s="260"/>
      <c r="K229" s="260"/>
      <c r="L229" s="260"/>
      <c r="M229" s="277"/>
      <c r="N229" s="260"/>
      <c r="O229" s="260"/>
      <c r="P229" s="260"/>
      <c r="Q229" s="260"/>
      <c r="R229" s="260"/>
      <c r="S229" s="260"/>
      <c r="T229" s="260"/>
      <c r="U229" s="260"/>
      <c r="V229" s="260"/>
      <c r="W229" s="260"/>
      <c r="X229" s="238"/>
      <c r="Y229" s="238"/>
    </row>
    <row r="230" spans="9:25">
      <c r="I230" s="187" t="s">
        <v>573</v>
      </c>
      <c r="J230" s="260"/>
      <c r="K230" s="260"/>
      <c r="L230" s="260"/>
      <c r="M230" s="277"/>
      <c r="N230" s="260"/>
      <c r="O230" s="260"/>
      <c r="P230" s="260"/>
      <c r="Q230" s="260"/>
      <c r="R230" s="260"/>
      <c r="S230" s="260"/>
      <c r="T230" s="260"/>
      <c r="U230" s="260"/>
      <c r="V230" s="260"/>
      <c r="W230" s="260"/>
      <c r="X230" s="238"/>
      <c r="Y230" s="238"/>
    </row>
    <row r="231" spans="9:25">
      <c r="I231" s="187" t="s">
        <v>574</v>
      </c>
      <c r="J231" s="260"/>
      <c r="K231" s="260"/>
      <c r="L231" s="260"/>
      <c r="M231" s="277"/>
      <c r="N231" s="260"/>
      <c r="O231" s="260"/>
      <c r="P231" s="260"/>
      <c r="Q231" s="260"/>
      <c r="R231" s="260"/>
      <c r="S231" s="260"/>
      <c r="T231" s="260"/>
      <c r="U231" s="260"/>
      <c r="V231" s="260"/>
      <c r="W231" s="260"/>
      <c r="X231" s="238"/>
      <c r="Y231" s="238"/>
    </row>
    <row r="232" spans="9:25">
      <c r="I232" s="187" t="s">
        <v>575</v>
      </c>
      <c r="J232" s="260"/>
      <c r="K232" s="260"/>
      <c r="L232" s="260"/>
      <c r="M232" s="277"/>
      <c r="N232" s="260"/>
      <c r="O232" s="260"/>
      <c r="P232" s="260"/>
      <c r="Q232" s="260"/>
      <c r="R232" s="260"/>
      <c r="S232" s="260"/>
      <c r="T232" s="260"/>
      <c r="U232" s="260"/>
      <c r="V232" s="260"/>
      <c r="W232" s="260"/>
      <c r="X232" s="238"/>
      <c r="Y232" s="238"/>
    </row>
    <row r="233" spans="9:25">
      <c r="I233" s="187"/>
      <c r="J233" s="260"/>
      <c r="K233" s="260"/>
      <c r="L233" s="260"/>
      <c r="M233" s="277"/>
      <c r="N233" s="260"/>
      <c r="O233" s="260"/>
      <c r="P233" s="260"/>
      <c r="Q233" s="260"/>
      <c r="R233" s="260"/>
      <c r="S233" s="260"/>
      <c r="T233" s="260"/>
      <c r="U233" s="260"/>
      <c r="V233" s="260"/>
      <c r="W233" s="260"/>
      <c r="X233" s="238"/>
      <c r="Y233" s="238"/>
    </row>
    <row r="234" spans="9:25" ht="15">
      <c r="I234" s="191" t="s">
        <v>576</v>
      </c>
      <c r="J234" s="260"/>
      <c r="K234" s="260"/>
      <c r="L234" s="260"/>
      <c r="M234" s="277"/>
      <c r="N234" s="260"/>
      <c r="O234" s="260"/>
      <c r="P234" s="260"/>
      <c r="Q234" s="260"/>
      <c r="R234" s="260"/>
      <c r="S234" s="260"/>
      <c r="T234" s="260"/>
      <c r="U234" s="260"/>
      <c r="V234" s="260"/>
      <c r="W234" s="260"/>
      <c r="X234" s="238"/>
      <c r="Y234" s="238"/>
    </row>
    <row r="235" spans="9:25">
      <c r="I235" s="187" t="s">
        <v>20</v>
      </c>
      <c r="J235" s="260"/>
      <c r="K235" s="260"/>
      <c r="L235" s="260"/>
      <c r="M235" s="277"/>
      <c r="N235" s="260"/>
      <c r="O235" s="260"/>
      <c r="P235" s="260"/>
      <c r="Q235" s="260"/>
      <c r="R235" s="260"/>
      <c r="S235" s="260"/>
      <c r="T235" s="260"/>
      <c r="U235" s="260"/>
      <c r="V235" s="260"/>
      <c r="W235" s="260"/>
      <c r="X235" s="238"/>
      <c r="Y235" s="238"/>
    </row>
    <row r="236" spans="9:25">
      <c r="I236" s="187" t="s">
        <v>227</v>
      </c>
      <c r="J236" s="260"/>
      <c r="K236" s="260"/>
      <c r="L236" s="260"/>
      <c r="M236" s="277"/>
      <c r="N236" s="260"/>
      <c r="O236" s="260"/>
      <c r="P236" s="260"/>
      <c r="Q236" s="260"/>
      <c r="R236" s="260"/>
      <c r="S236" s="260"/>
      <c r="T236" s="260"/>
      <c r="U236" s="260"/>
      <c r="V236" s="260"/>
      <c r="W236" s="260"/>
      <c r="X236" s="238"/>
      <c r="Y236" s="238"/>
    </row>
    <row r="237" spans="9:25">
      <c r="I237" s="187" t="s">
        <v>15</v>
      </c>
      <c r="J237" s="260"/>
      <c r="K237" s="260"/>
      <c r="L237" s="260"/>
      <c r="M237" s="277"/>
      <c r="N237" s="260"/>
      <c r="O237" s="260"/>
      <c r="P237" s="260"/>
      <c r="Q237" s="260"/>
      <c r="R237" s="260"/>
      <c r="S237" s="260"/>
      <c r="T237" s="260"/>
      <c r="U237" s="260"/>
      <c r="V237" s="260"/>
      <c r="W237" s="260"/>
      <c r="X237" s="238"/>
      <c r="Y237" s="238"/>
    </row>
    <row r="238" spans="9:25">
      <c r="I238" s="187" t="s">
        <v>16</v>
      </c>
      <c r="J238" s="260"/>
      <c r="K238" s="260"/>
      <c r="L238" s="260"/>
      <c r="M238" s="277"/>
      <c r="N238" s="260"/>
      <c r="O238" s="260"/>
      <c r="P238" s="260"/>
      <c r="Q238" s="260"/>
      <c r="R238" s="260"/>
      <c r="S238" s="260"/>
      <c r="T238" s="260"/>
      <c r="U238" s="260"/>
      <c r="V238" s="260"/>
      <c r="W238" s="260"/>
      <c r="X238" s="238"/>
      <c r="Y238" s="238"/>
    </row>
    <row r="239" spans="9:25">
      <c r="I239" s="187" t="s">
        <v>19</v>
      </c>
      <c r="J239" s="260"/>
      <c r="K239" s="260"/>
      <c r="L239" s="260"/>
      <c r="M239" s="277"/>
      <c r="N239" s="260"/>
      <c r="O239" s="260"/>
      <c r="P239" s="260"/>
      <c r="Q239" s="260"/>
      <c r="R239" s="260"/>
      <c r="S239" s="260"/>
      <c r="T239" s="260"/>
      <c r="U239" s="260"/>
      <c r="V239" s="260"/>
      <c r="W239" s="260"/>
      <c r="X239" s="238"/>
      <c r="Y239" s="238"/>
    </row>
    <row r="240" spans="9:25">
      <c r="I240" s="187"/>
      <c r="J240" s="260"/>
      <c r="K240" s="260"/>
      <c r="L240" s="260"/>
      <c r="M240" s="277"/>
      <c r="N240" s="260"/>
      <c r="O240" s="260"/>
      <c r="P240" s="260"/>
      <c r="Q240" s="260"/>
      <c r="R240" s="260"/>
      <c r="S240" s="260"/>
      <c r="T240" s="260"/>
      <c r="U240" s="260"/>
      <c r="V240" s="260"/>
      <c r="W240" s="260"/>
      <c r="X240" s="238"/>
      <c r="Y240" s="238"/>
    </row>
    <row r="241" spans="9:25" ht="15">
      <c r="I241" s="191" t="s">
        <v>576</v>
      </c>
      <c r="J241" s="260"/>
      <c r="K241" s="260"/>
      <c r="L241" s="260"/>
      <c r="M241" s="277"/>
      <c r="N241" s="260"/>
      <c r="O241" s="260"/>
      <c r="P241" s="260"/>
      <c r="Q241" s="260"/>
      <c r="R241" s="260"/>
      <c r="S241" s="260"/>
      <c r="T241" s="260"/>
      <c r="U241" s="260"/>
      <c r="V241" s="260"/>
      <c r="W241" s="260"/>
      <c r="X241" s="238"/>
      <c r="Y241" s="238"/>
    </row>
    <row r="242" spans="9:25">
      <c r="I242" s="187" t="s">
        <v>20</v>
      </c>
      <c r="J242" s="260"/>
      <c r="K242" s="260"/>
      <c r="L242" s="260"/>
      <c r="M242" s="277"/>
      <c r="N242" s="260"/>
      <c r="O242" s="260"/>
      <c r="P242" s="260"/>
      <c r="Q242" s="260"/>
      <c r="R242" s="260"/>
      <c r="S242" s="260"/>
      <c r="T242" s="260"/>
      <c r="U242" s="260"/>
      <c r="V242" s="260"/>
      <c r="W242" s="260"/>
      <c r="X242" s="238"/>
      <c r="Y242" s="238"/>
    </row>
    <row r="243" spans="9:25">
      <c r="I243" s="187" t="s">
        <v>227</v>
      </c>
      <c r="J243" s="260"/>
      <c r="K243" s="260"/>
      <c r="L243" s="260"/>
      <c r="M243" s="277"/>
      <c r="N243" s="260"/>
      <c r="O243" s="260"/>
      <c r="P243" s="260"/>
      <c r="Q243" s="260"/>
      <c r="R243" s="260"/>
      <c r="S243" s="260"/>
      <c r="T243" s="260"/>
      <c r="U243" s="260"/>
      <c r="V243" s="260"/>
      <c r="W243" s="260"/>
      <c r="X243" s="238"/>
      <c r="Y243" s="238"/>
    </row>
    <row r="244" spans="9:25">
      <c r="I244" s="187" t="s">
        <v>15</v>
      </c>
      <c r="J244" s="260"/>
      <c r="K244" s="260"/>
      <c r="L244" s="260"/>
      <c r="M244" s="277"/>
      <c r="N244" s="260"/>
      <c r="O244" s="260"/>
      <c r="P244" s="260"/>
      <c r="Q244" s="260"/>
      <c r="R244" s="260"/>
      <c r="S244" s="260"/>
      <c r="T244" s="260"/>
      <c r="U244" s="260"/>
      <c r="V244" s="260"/>
      <c r="W244" s="260"/>
      <c r="X244" s="238"/>
      <c r="Y244" s="238"/>
    </row>
    <row r="245" spans="9:25">
      <c r="I245" s="187" t="s">
        <v>16</v>
      </c>
      <c r="J245" s="260"/>
      <c r="K245" s="260"/>
      <c r="L245" s="260"/>
      <c r="M245" s="277"/>
      <c r="N245" s="260"/>
      <c r="O245" s="260"/>
      <c r="P245" s="260"/>
      <c r="Q245" s="260"/>
      <c r="R245" s="260"/>
      <c r="S245" s="260"/>
      <c r="T245" s="260"/>
      <c r="U245" s="260"/>
      <c r="V245" s="260"/>
      <c r="W245" s="260"/>
      <c r="X245" s="238"/>
      <c r="Y245" s="238"/>
    </row>
    <row r="246" spans="9:25">
      <c r="I246" s="187" t="s">
        <v>19</v>
      </c>
      <c r="J246" s="260"/>
      <c r="K246" s="260"/>
      <c r="L246" s="260"/>
      <c r="M246" s="277"/>
      <c r="N246" s="260"/>
      <c r="O246" s="260"/>
      <c r="P246" s="260"/>
      <c r="Q246" s="260"/>
      <c r="R246" s="260"/>
      <c r="S246" s="260"/>
      <c r="T246" s="260"/>
      <c r="U246" s="260"/>
      <c r="V246" s="260"/>
      <c r="W246" s="260"/>
      <c r="X246" s="238"/>
      <c r="Y246" s="238"/>
    </row>
    <row r="247" spans="9:25">
      <c r="I247" s="187"/>
      <c r="J247" s="260"/>
      <c r="K247" s="260"/>
      <c r="L247" s="260"/>
      <c r="M247" s="277"/>
      <c r="N247" s="260"/>
      <c r="O247" s="260"/>
      <c r="P247" s="260"/>
      <c r="Q247" s="260"/>
      <c r="R247" s="260"/>
      <c r="S247" s="260"/>
      <c r="T247" s="260"/>
      <c r="U247" s="260"/>
      <c r="V247" s="260"/>
      <c r="W247" s="260"/>
      <c r="X247" s="238"/>
      <c r="Y247" s="238"/>
    </row>
    <row r="248" spans="9:25" ht="15">
      <c r="I248" s="191" t="s">
        <v>576</v>
      </c>
      <c r="J248" s="260"/>
      <c r="K248" s="260"/>
      <c r="L248" s="260"/>
      <c r="M248" s="277"/>
      <c r="N248" s="260"/>
      <c r="O248" s="260"/>
      <c r="P248" s="260"/>
      <c r="Q248" s="260"/>
      <c r="R248" s="260"/>
      <c r="S248" s="260"/>
      <c r="T248" s="260"/>
      <c r="U248" s="260"/>
      <c r="V248" s="260"/>
      <c r="W248" s="260"/>
      <c r="X248" s="238"/>
      <c r="Y248" s="238"/>
    </row>
    <row r="249" spans="9:25">
      <c r="I249" s="187" t="s">
        <v>577</v>
      </c>
      <c r="J249" s="260"/>
      <c r="K249" s="260"/>
      <c r="L249" s="260"/>
      <c r="M249" s="277"/>
      <c r="N249" s="260"/>
      <c r="O249" s="260"/>
      <c r="P249" s="260"/>
      <c r="Q249" s="260"/>
      <c r="R249" s="260"/>
      <c r="S249" s="260"/>
      <c r="T249" s="260"/>
      <c r="U249" s="260"/>
      <c r="V249" s="260"/>
      <c r="W249" s="260"/>
      <c r="X249" s="238"/>
      <c r="Y249" s="238"/>
    </row>
    <row r="250" spans="9:25">
      <c r="I250" s="187" t="s">
        <v>227</v>
      </c>
      <c r="J250" s="260"/>
      <c r="K250" s="260"/>
      <c r="L250" s="260"/>
      <c r="M250" s="277"/>
      <c r="N250" s="260"/>
      <c r="O250" s="260"/>
      <c r="P250" s="260"/>
      <c r="Q250" s="260"/>
      <c r="R250" s="260"/>
      <c r="S250" s="260"/>
      <c r="T250" s="260"/>
      <c r="U250" s="260"/>
      <c r="V250" s="260"/>
      <c r="W250" s="260"/>
      <c r="X250" s="238"/>
      <c r="Y250" s="238"/>
    </row>
    <row r="251" spans="9:25">
      <c r="I251" s="187" t="s">
        <v>19</v>
      </c>
      <c r="J251" s="260"/>
      <c r="K251" s="260"/>
      <c r="L251" s="260"/>
      <c r="M251" s="277"/>
      <c r="N251" s="260"/>
      <c r="O251" s="260"/>
      <c r="P251" s="260"/>
      <c r="Q251" s="260"/>
      <c r="R251" s="260"/>
      <c r="S251" s="260"/>
      <c r="T251" s="260"/>
      <c r="U251" s="260"/>
      <c r="V251" s="260"/>
      <c r="W251" s="260"/>
      <c r="X251" s="238"/>
      <c r="Y251" s="238"/>
    </row>
    <row r="252" spans="9:25">
      <c r="I252" s="187" t="s">
        <v>21</v>
      </c>
      <c r="J252" s="260"/>
      <c r="K252" s="260"/>
      <c r="L252" s="260"/>
      <c r="M252" s="277"/>
      <c r="N252" s="260"/>
      <c r="O252" s="260"/>
      <c r="P252" s="260"/>
      <c r="Q252" s="260"/>
      <c r="R252" s="260"/>
      <c r="S252" s="260"/>
      <c r="T252" s="260"/>
      <c r="U252" s="260"/>
      <c r="V252" s="260"/>
      <c r="W252" s="260"/>
      <c r="X252" s="238"/>
      <c r="Y252" s="238"/>
    </row>
    <row r="253" spans="9:25">
      <c r="I253" s="187"/>
      <c r="J253" s="260"/>
      <c r="K253" s="260"/>
      <c r="L253" s="260"/>
      <c r="M253" s="277"/>
      <c r="N253" s="260"/>
      <c r="O253" s="260"/>
      <c r="P253" s="260"/>
      <c r="Q253" s="260"/>
      <c r="R253" s="260"/>
      <c r="S253" s="260"/>
      <c r="T253" s="260"/>
      <c r="U253" s="260"/>
      <c r="V253" s="260"/>
      <c r="W253" s="260"/>
      <c r="X253" s="238"/>
      <c r="Y253" s="238"/>
    </row>
    <row r="254" spans="9:25" ht="15">
      <c r="I254" s="191" t="s">
        <v>578</v>
      </c>
      <c r="J254" s="260"/>
      <c r="K254" s="260"/>
      <c r="L254" s="260"/>
      <c r="M254" s="277"/>
      <c r="N254" s="260"/>
      <c r="O254" s="260"/>
      <c r="P254" s="260"/>
      <c r="Q254" s="260"/>
      <c r="R254" s="260"/>
      <c r="S254" s="260"/>
      <c r="T254" s="260"/>
      <c r="U254" s="260"/>
      <c r="V254" s="260"/>
      <c r="W254" s="260"/>
      <c r="X254" s="238"/>
      <c r="Y254" s="238"/>
    </row>
    <row r="255" spans="9:25">
      <c r="I255" s="187" t="s">
        <v>49</v>
      </c>
      <c r="J255" s="260"/>
      <c r="K255" s="260"/>
      <c r="L255" s="260"/>
      <c r="M255" s="277"/>
      <c r="N255" s="260"/>
      <c r="O255" s="260"/>
      <c r="P255" s="260"/>
      <c r="Q255" s="260"/>
      <c r="R255" s="260"/>
      <c r="S255" s="260"/>
      <c r="T255" s="260"/>
      <c r="U255" s="260"/>
      <c r="V255" s="260"/>
      <c r="W255" s="260"/>
      <c r="X255" s="238"/>
      <c r="Y255" s="238"/>
    </row>
    <row r="256" spans="9:25">
      <c r="I256" s="187" t="s">
        <v>50</v>
      </c>
      <c r="J256" s="260"/>
      <c r="K256" s="260"/>
      <c r="L256" s="260"/>
      <c r="M256" s="277"/>
      <c r="N256" s="260"/>
      <c r="O256" s="260"/>
      <c r="P256" s="260"/>
      <c r="Q256" s="260"/>
      <c r="R256" s="260"/>
      <c r="S256" s="260"/>
      <c r="T256" s="260"/>
      <c r="U256" s="260"/>
      <c r="V256" s="260"/>
      <c r="W256" s="260"/>
      <c r="X256" s="238"/>
      <c r="Y256" s="238"/>
    </row>
    <row r="257" spans="9:25">
      <c r="I257" s="187" t="s">
        <v>51</v>
      </c>
      <c r="J257" s="260"/>
      <c r="K257" s="260"/>
      <c r="L257" s="260"/>
      <c r="M257" s="277"/>
      <c r="N257" s="260"/>
      <c r="O257" s="260"/>
      <c r="P257" s="260"/>
      <c r="Q257" s="260"/>
      <c r="R257" s="260"/>
      <c r="S257" s="260"/>
      <c r="T257" s="260"/>
      <c r="U257" s="260"/>
      <c r="V257" s="260"/>
      <c r="W257" s="260"/>
      <c r="X257" s="238"/>
      <c r="Y257" s="238"/>
    </row>
    <row r="258" spans="9:25">
      <c r="I258" s="187" t="s">
        <v>52</v>
      </c>
      <c r="J258" s="260"/>
      <c r="K258" s="260"/>
      <c r="L258" s="260"/>
      <c r="M258" s="277"/>
      <c r="N258" s="260"/>
      <c r="O258" s="260"/>
      <c r="P258" s="260"/>
      <c r="Q258" s="260"/>
      <c r="R258" s="260"/>
      <c r="S258" s="260"/>
      <c r="T258" s="260"/>
      <c r="U258" s="260"/>
      <c r="V258" s="260"/>
      <c r="W258" s="260"/>
      <c r="X258" s="238"/>
      <c r="Y258" s="238"/>
    </row>
    <row r="259" spans="9:25">
      <c r="I259" s="187" t="s">
        <v>579</v>
      </c>
      <c r="J259" s="260"/>
      <c r="K259" s="260"/>
      <c r="L259" s="260"/>
      <c r="M259" s="277"/>
      <c r="N259" s="260"/>
      <c r="O259" s="260"/>
      <c r="P259" s="260"/>
      <c r="Q259" s="260"/>
      <c r="R259" s="260"/>
      <c r="S259" s="260"/>
      <c r="T259" s="260"/>
      <c r="U259" s="260"/>
      <c r="V259" s="260"/>
      <c r="W259" s="260"/>
      <c r="X259" s="238"/>
      <c r="Y259" s="238"/>
    </row>
    <row r="260" spans="9:25">
      <c r="I260" s="187" t="s">
        <v>53</v>
      </c>
      <c r="J260" s="260"/>
      <c r="K260" s="260"/>
      <c r="L260" s="260"/>
      <c r="M260" s="277"/>
      <c r="N260" s="260"/>
      <c r="O260" s="260"/>
      <c r="P260" s="260"/>
      <c r="Q260" s="260"/>
      <c r="R260" s="260"/>
      <c r="S260" s="260"/>
      <c r="T260" s="260"/>
      <c r="U260" s="260"/>
      <c r="V260" s="260"/>
      <c r="W260" s="260"/>
      <c r="X260" s="238"/>
      <c r="Y260" s="238"/>
    </row>
    <row r="261" spans="9:25">
      <c r="I261" s="187" t="s">
        <v>54</v>
      </c>
      <c r="J261" s="260"/>
      <c r="K261" s="260"/>
      <c r="L261" s="260"/>
      <c r="M261" s="277"/>
      <c r="N261" s="260"/>
      <c r="O261" s="260"/>
      <c r="P261" s="260"/>
      <c r="Q261" s="260"/>
      <c r="R261" s="260"/>
      <c r="S261" s="260"/>
      <c r="T261" s="260"/>
      <c r="U261" s="260"/>
      <c r="V261" s="260"/>
      <c r="W261" s="260"/>
      <c r="X261" s="238"/>
      <c r="Y261" s="238"/>
    </row>
    <row r="262" spans="9:25">
      <c r="I262" s="187" t="s">
        <v>580</v>
      </c>
      <c r="J262" s="260"/>
      <c r="K262" s="260"/>
      <c r="L262" s="260"/>
      <c r="M262" s="277"/>
      <c r="N262" s="260"/>
      <c r="O262" s="260"/>
      <c r="P262" s="260"/>
      <c r="Q262" s="260"/>
      <c r="R262" s="260"/>
      <c r="S262" s="260"/>
      <c r="T262" s="260"/>
      <c r="U262" s="260"/>
      <c r="V262" s="260"/>
      <c r="W262" s="260"/>
      <c r="X262" s="238"/>
      <c r="Y262" s="238"/>
    </row>
    <row r="263" spans="9:25">
      <c r="I263" s="187" t="s">
        <v>32</v>
      </c>
      <c r="J263" s="260"/>
      <c r="K263" s="260"/>
      <c r="L263" s="260"/>
      <c r="M263" s="277"/>
      <c r="N263" s="260"/>
      <c r="O263" s="260"/>
      <c r="P263" s="260"/>
      <c r="Q263" s="260"/>
      <c r="R263" s="260"/>
      <c r="S263" s="260"/>
      <c r="T263" s="260"/>
      <c r="U263" s="260"/>
      <c r="V263" s="260"/>
      <c r="W263" s="260"/>
      <c r="X263" s="238"/>
      <c r="Y263" s="238"/>
    </row>
    <row r="264" spans="9:25">
      <c r="I264" s="187"/>
      <c r="J264" s="260"/>
      <c r="K264" s="260"/>
      <c r="L264" s="260"/>
      <c r="M264" s="277"/>
      <c r="N264" s="260"/>
      <c r="O264" s="260"/>
      <c r="P264" s="260"/>
      <c r="Q264" s="260"/>
      <c r="R264" s="260"/>
      <c r="S264" s="260"/>
      <c r="T264" s="260"/>
      <c r="U264" s="260"/>
      <c r="V264" s="260"/>
      <c r="W264" s="260"/>
      <c r="X264" s="238"/>
      <c r="Y264" s="238"/>
    </row>
    <row r="265" spans="9:25" ht="15">
      <c r="I265" s="191" t="s">
        <v>579</v>
      </c>
      <c r="J265" s="260"/>
      <c r="K265" s="260"/>
      <c r="L265" s="260"/>
      <c r="M265" s="277"/>
      <c r="N265" s="260"/>
      <c r="O265" s="260"/>
      <c r="P265" s="260"/>
      <c r="Q265" s="260"/>
      <c r="R265" s="260"/>
      <c r="S265" s="260"/>
      <c r="T265" s="260"/>
      <c r="U265" s="260"/>
      <c r="V265" s="260"/>
      <c r="W265" s="260"/>
      <c r="X265" s="238"/>
      <c r="Y265" s="238"/>
    </row>
    <row r="266" spans="9:25">
      <c r="I266" s="187" t="s">
        <v>53</v>
      </c>
      <c r="J266" s="260"/>
      <c r="K266" s="260"/>
      <c r="L266" s="260"/>
      <c r="M266" s="277"/>
      <c r="N266" s="260"/>
      <c r="O266" s="260"/>
      <c r="P266" s="260"/>
      <c r="Q266" s="260"/>
      <c r="R266" s="260"/>
      <c r="S266" s="260"/>
      <c r="T266" s="260"/>
      <c r="U266" s="260"/>
      <c r="V266" s="260"/>
      <c r="W266" s="260"/>
      <c r="X266" s="238"/>
      <c r="Y266" s="238"/>
    </row>
    <row r="267" spans="9:25">
      <c r="I267" s="187" t="s">
        <v>54</v>
      </c>
      <c r="J267" s="260"/>
      <c r="K267" s="260"/>
      <c r="L267" s="260"/>
      <c r="M267" s="277"/>
      <c r="N267" s="260"/>
      <c r="O267" s="260"/>
      <c r="P267" s="260"/>
      <c r="Q267" s="260"/>
      <c r="R267" s="260"/>
      <c r="S267" s="260"/>
      <c r="T267" s="260"/>
      <c r="U267" s="260"/>
      <c r="V267" s="260"/>
      <c r="W267" s="260"/>
      <c r="X267" s="238"/>
      <c r="Y267" s="238"/>
    </row>
    <row r="268" spans="9:25">
      <c r="I268" s="187"/>
      <c r="J268" s="260"/>
      <c r="K268" s="260"/>
      <c r="L268" s="260"/>
      <c r="M268" s="277"/>
      <c r="N268" s="260"/>
      <c r="O268" s="260"/>
      <c r="P268" s="260"/>
      <c r="Q268" s="260"/>
      <c r="R268" s="260"/>
      <c r="S268" s="260"/>
      <c r="T268" s="260"/>
      <c r="U268" s="260"/>
      <c r="V268" s="260"/>
      <c r="W268" s="260"/>
      <c r="X268" s="238"/>
      <c r="Y268" s="238"/>
    </row>
    <row r="269" spans="9:25" ht="15">
      <c r="I269" s="191" t="s">
        <v>580</v>
      </c>
      <c r="J269" s="260"/>
      <c r="K269" s="260"/>
      <c r="L269" s="260"/>
      <c r="M269" s="277"/>
      <c r="N269" s="260"/>
      <c r="O269" s="260"/>
      <c r="P269" s="260"/>
      <c r="Q269" s="260"/>
      <c r="R269" s="260"/>
      <c r="S269" s="260"/>
      <c r="T269" s="260"/>
      <c r="U269" s="260"/>
      <c r="V269" s="260"/>
      <c r="W269" s="260"/>
      <c r="X269" s="238"/>
      <c r="Y269" s="238"/>
    </row>
    <row r="270" spans="9:25">
      <c r="I270" s="187" t="s">
        <v>32</v>
      </c>
      <c r="J270" s="260"/>
      <c r="K270" s="260"/>
      <c r="L270" s="260"/>
      <c r="M270" s="277"/>
      <c r="N270" s="260"/>
      <c r="O270" s="260"/>
      <c r="P270" s="260"/>
      <c r="Q270" s="260"/>
      <c r="R270" s="260"/>
      <c r="S270" s="260"/>
      <c r="T270" s="260"/>
      <c r="U270" s="260"/>
      <c r="V270" s="260"/>
      <c r="W270" s="260"/>
      <c r="X270" s="238"/>
      <c r="Y270" s="238"/>
    </row>
    <row r="271" spans="9:25">
      <c r="I271" s="187"/>
      <c r="J271" s="260"/>
      <c r="K271" s="260"/>
      <c r="L271" s="260"/>
      <c r="M271" s="277"/>
      <c r="N271" s="260"/>
      <c r="O271" s="260"/>
      <c r="P271" s="260"/>
      <c r="Q271" s="260"/>
      <c r="R271" s="260"/>
      <c r="S271" s="260"/>
      <c r="T271" s="260"/>
      <c r="U271" s="260"/>
      <c r="V271" s="260"/>
      <c r="W271" s="260"/>
      <c r="X271" s="238"/>
      <c r="Y271" s="238"/>
    </row>
    <row r="272" spans="9:25" ht="15">
      <c r="I272" s="191" t="s">
        <v>581</v>
      </c>
      <c r="J272" s="260"/>
      <c r="K272" s="260"/>
      <c r="L272" s="260"/>
      <c r="M272" s="277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38"/>
      <c r="Y272" s="238"/>
    </row>
    <row r="273" spans="9:25">
      <c r="I273" s="187" t="s">
        <v>49</v>
      </c>
      <c r="J273" s="260"/>
      <c r="K273" s="260"/>
      <c r="L273" s="260"/>
      <c r="M273" s="277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38"/>
      <c r="Y273" s="238"/>
    </row>
    <row r="274" spans="9:25">
      <c r="I274" s="187" t="s">
        <v>50</v>
      </c>
      <c r="J274" s="260"/>
      <c r="K274" s="260"/>
      <c r="L274" s="260"/>
      <c r="M274" s="277"/>
      <c r="N274" s="260"/>
      <c r="O274" s="260"/>
      <c r="P274" s="260"/>
      <c r="Q274" s="260"/>
      <c r="R274" s="260"/>
      <c r="S274" s="260"/>
      <c r="T274" s="260"/>
      <c r="U274" s="260"/>
      <c r="V274" s="260"/>
      <c r="W274" s="260"/>
      <c r="X274" s="238"/>
      <c r="Y274" s="238"/>
    </row>
    <row r="275" spans="9:25">
      <c r="I275" s="187" t="s">
        <v>51</v>
      </c>
      <c r="J275" s="260"/>
      <c r="K275" s="260"/>
      <c r="L275" s="260"/>
      <c r="M275" s="277"/>
      <c r="N275" s="260"/>
      <c r="O275" s="260"/>
      <c r="P275" s="260"/>
      <c r="Q275" s="260"/>
      <c r="R275" s="260"/>
      <c r="S275" s="260"/>
      <c r="T275" s="260"/>
      <c r="U275" s="260"/>
      <c r="V275" s="260"/>
      <c r="W275" s="260"/>
      <c r="X275" s="238"/>
      <c r="Y275" s="238"/>
    </row>
    <row r="276" spans="9:25">
      <c r="I276" s="187" t="s">
        <v>52</v>
      </c>
      <c r="J276" s="260"/>
      <c r="K276" s="260"/>
      <c r="L276" s="260"/>
      <c r="M276" s="277"/>
      <c r="N276" s="260"/>
      <c r="O276" s="260"/>
      <c r="P276" s="260"/>
      <c r="Q276" s="260"/>
      <c r="R276" s="260"/>
      <c r="S276" s="260"/>
      <c r="T276" s="260"/>
      <c r="U276" s="260"/>
      <c r="V276" s="260"/>
      <c r="W276" s="260"/>
      <c r="X276" s="238"/>
      <c r="Y276" s="238"/>
    </row>
    <row r="277" spans="9:25">
      <c r="I277" s="187"/>
      <c r="J277" s="260"/>
      <c r="K277" s="260"/>
      <c r="L277" s="260"/>
      <c r="M277" s="277"/>
      <c r="N277" s="260"/>
      <c r="O277" s="260"/>
      <c r="P277" s="260"/>
      <c r="Q277" s="260"/>
      <c r="R277" s="260"/>
      <c r="S277" s="260"/>
      <c r="T277" s="260"/>
      <c r="U277" s="260"/>
      <c r="V277" s="260"/>
      <c r="W277" s="260"/>
      <c r="X277" s="238"/>
      <c r="Y277" s="238"/>
    </row>
    <row r="278" spans="9:25" ht="15">
      <c r="I278" s="191" t="s">
        <v>579</v>
      </c>
      <c r="J278" s="260"/>
      <c r="K278" s="260"/>
      <c r="L278" s="260"/>
      <c r="M278" s="277"/>
      <c r="N278" s="260"/>
      <c r="O278" s="260"/>
      <c r="P278" s="260"/>
      <c r="Q278" s="260"/>
      <c r="R278" s="260"/>
      <c r="S278" s="260"/>
      <c r="T278" s="260"/>
      <c r="U278" s="260"/>
      <c r="V278" s="260"/>
      <c r="W278" s="260"/>
      <c r="X278" s="238"/>
      <c r="Y278" s="238"/>
    </row>
    <row r="279" spans="9:25">
      <c r="I279" s="187" t="s">
        <v>53</v>
      </c>
      <c r="J279" s="260"/>
      <c r="K279" s="260"/>
      <c r="L279" s="260"/>
      <c r="M279" s="277"/>
      <c r="N279" s="260"/>
      <c r="O279" s="260"/>
      <c r="P279" s="260"/>
      <c r="Q279" s="260"/>
      <c r="R279" s="260"/>
      <c r="S279" s="260"/>
      <c r="T279" s="260"/>
      <c r="U279" s="260"/>
      <c r="V279" s="260"/>
      <c r="W279" s="260"/>
      <c r="X279" s="238"/>
      <c r="Y279" s="238"/>
    </row>
    <row r="280" spans="9:25">
      <c r="I280" s="187" t="s">
        <v>54</v>
      </c>
      <c r="J280" s="260"/>
      <c r="K280" s="260"/>
      <c r="L280" s="260"/>
      <c r="M280" s="277"/>
      <c r="N280" s="260"/>
      <c r="O280" s="260"/>
      <c r="P280" s="260"/>
      <c r="Q280" s="260"/>
      <c r="R280" s="260"/>
      <c r="S280" s="260"/>
      <c r="T280" s="260"/>
      <c r="U280" s="260"/>
      <c r="V280" s="260"/>
      <c r="W280" s="260"/>
      <c r="X280" s="238"/>
      <c r="Y280" s="238"/>
    </row>
    <row r="281" spans="9:25">
      <c r="I281" s="187"/>
      <c r="J281" s="260"/>
      <c r="K281" s="260"/>
      <c r="L281" s="260"/>
      <c r="M281" s="277"/>
      <c r="N281" s="260"/>
      <c r="O281" s="260"/>
      <c r="P281" s="260"/>
      <c r="Q281" s="260"/>
      <c r="R281" s="260"/>
      <c r="S281" s="260"/>
      <c r="T281" s="260"/>
      <c r="U281" s="260"/>
      <c r="V281" s="260"/>
      <c r="W281" s="260"/>
      <c r="X281" s="238"/>
      <c r="Y281" s="238"/>
    </row>
    <row r="282" spans="9:25" ht="15">
      <c r="I282" s="191" t="s">
        <v>580</v>
      </c>
      <c r="J282" s="260"/>
      <c r="K282" s="260"/>
      <c r="L282" s="260"/>
      <c r="M282" s="277"/>
      <c r="N282" s="260"/>
      <c r="O282" s="260"/>
      <c r="P282" s="260"/>
      <c r="Q282" s="260"/>
      <c r="R282" s="260"/>
      <c r="S282" s="260"/>
      <c r="T282" s="260"/>
      <c r="U282" s="260"/>
      <c r="V282" s="260"/>
      <c r="W282" s="260"/>
      <c r="X282" s="238"/>
      <c r="Y282" s="238"/>
    </row>
    <row r="283" spans="9:25" ht="15">
      <c r="I283" s="191" t="s">
        <v>32</v>
      </c>
      <c r="J283" s="260"/>
      <c r="K283" s="260"/>
      <c r="L283" s="260"/>
      <c r="M283" s="277"/>
      <c r="N283" s="260"/>
      <c r="O283" s="260"/>
      <c r="P283" s="260"/>
      <c r="Q283" s="260"/>
      <c r="R283" s="260"/>
      <c r="S283" s="260"/>
      <c r="T283" s="260"/>
      <c r="U283" s="260"/>
      <c r="V283" s="260"/>
      <c r="W283" s="260"/>
      <c r="X283" s="238"/>
      <c r="Y283" s="238"/>
    </row>
    <row r="284" spans="9:25">
      <c r="I284" s="187"/>
      <c r="J284" s="260"/>
      <c r="K284" s="260"/>
      <c r="L284" s="260"/>
      <c r="M284" s="277"/>
      <c r="N284" s="260"/>
      <c r="O284" s="260"/>
      <c r="P284" s="260"/>
      <c r="Q284" s="260"/>
      <c r="R284" s="260"/>
      <c r="S284" s="260"/>
      <c r="T284" s="260"/>
      <c r="U284" s="260"/>
      <c r="V284" s="260"/>
      <c r="W284" s="260"/>
      <c r="X284" s="238"/>
      <c r="Y284" s="238"/>
    </row>
    <row r="285" spans="9:25" ht="15">
      <c r="I285" s="191" t="s">
        <v>582</v>
      </c>
      <c r="J285" s="260"/>
      <c r="K285" s="260"/>
      <c r="L285" s="260"/>
      <c r="M285" s="277"/>
      <c r="N285" s="260"/>
      <c r="O285" s="260"/>
      <c r="P285" s="260"/>
      <c r="Q285" s="260"/>
      <c r="R285" s="260"/>
      <c r="S285" s="260"/>
      <c r="T285" s="260"/>
      <c r="U285" s="260"/>
      <c r="V285" s="260"/>
      <c r="W285" s="260"/>
      <c r="X285" s="238"/>
      <c r="Y285" s="238"/>
    </row>
    <row r="286" spans="9:25">
      <c r="I286" s="187" t="s">
        <v>49</v>
      </c>
      <c r="J286" s="260"/>
      <c r="K286" s="260"/>
      <c r="L286" s="260"/>
      <c r="M286" s="277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38"/>
      <c r="Y286" s="238"/>
    </row>
    <row r="287" spans="9:25">
      <c r="I287" s="187" t="s">
        <v>583</v>
      </c>
      <c r="J287" s="260"/>
      <c r="K287" s="260"/>
      <c r="L287" s="260"/>
      <c r="M287" s="277"/>
      <c r="N287" s="260"/>
      <c r="O287" s="260"/>
      <c r="P287" s="260"/>
      <c r="Q287" s="260"/>
      <c r="R287" s="260"/>
      <c r="S287" s="260"/>
      <c r="T287" s="260"/>
      <c r="U287" s="260"/>
      <c r="V287" s="260"/>
      <c r="W287" s="260"/>
      <c r="X287" s="238"/>
      <c r="Y287" s="238"/>
    </row>
    <row r="288" spans="9:25">
      <c r="I288" s="187" t="s">
        <v>580</v>
      </c>
      <c r="J288" s="260"/>
      <c r="K288" s="260"/>
      <c r="L288" s="260"/>
      <c r="M288" s="277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38"/>
      <c r="Y288" s="238"/>
    </row>
    <row r="289" spans="9:25">
      <c r="I289" s="187" t="s">
        <v>21</v>
      </c>
      <c r="J289" s="260"/>
      <c r="K289" s="260"/>
      <c r="L289" s="260"/>
      <c r="M289" s="277"/>
      <c r="N289" s="260"/>
      <c r="O289" s="260"/>
      <c r="P289" s="260"/>
      <c r="Q289" s="260"/>
      <c r="R289" s="260"/>
      <c r="S289" s="260"/>
      <c r="T289" s="260"/>
      <c r="U289" s="260"/>
      <c r="V289" s="260"/>
      <c r="W289" s="260"/>
      <c r="X289" s="238"/>
      <c r="Y289" s="238"/>
    </row>
    <row r="290" spans="9:25">
      <c r="I290" s="187"/>
      <c r="J290" s="260"/>
      <c r="K290" s="260"/>
      <c r="L290" s="260"/>
      <c r="M290" s="277"/>
      <c r="N290" s="260"/>
      <c r="O290" s="260"/>
      <c r="P290" s="260"/>
      <c r="Q290" s="260"/>
      <c r="R290" s="260"/>
      <c r="S290" s="260"/>
      <c r="T290" s="260"/>
      <c r="U290" s="260"/>
      <c r="V290" s="260"/>
      <c r="W290" s="260"/>
      <c r="X290" s="238"/>
      <c r="Y290" s="238"/>
    </row>
    <row r="291" spans="9:25" ht="15">
      <c r="I291" s="188" t="s">
        <v>584</v>
      </c>
      <c r="J291" s="260"/>
      <c r="K291" s="260"/>
      <c r="L291" s="260"/>
      <c r="M291" s="277"/>
      <c r="N291" s="260"/>
      <c r="O291" s="260"/>
      <c r="P291" s="260"/>
      <c r="Q291" s="260"/>
      <c r="R291" s="260"/>
      <c r="S291" s="260"/>
      <c r="T291" s="260"/>
      <c r="U291" s="260"/>
      <c r="V291" s="260"/>
      <c r="W291" s="260"/>
      <c r="X291" s="238"/>
      <c r="Y291" s="238"/>
    </row>
    <row r="292" spans="9:25">
      <c r="I292" s="189" t="s">
        <v>49</v>
      </c>
      <c r="J292" s="260"/>
      <c r="K292" s="260"/>
      <c r="L292" s="260"/>
      <c r="M292" s="277"/>
      <c r="N292" s="260"/>
      <c r="O292" s="260"/>
      <c r="P292" s="260"/>
      <c r="Q292" s="260"/>
      <c r="R292" s="260"/>
      <c r="S292" s="260"/>
      <c r="T292" s="260"/>
      <c r="U292" s="260"/>
      <c r="V292" s="260"/>
      <c r="W292" s="260"/>
      <c r="X292" s="238"/>
      <c r="Y292" s="238"/>
    </row>
    <row r="293" spans="9:25">
      <c r="I293" s="190" t="s">
        <v>50</v>
      </c>
      <c r="J293" s="260"/>
      <c r="K293" s="260"/>
      <c r="L293" s="260"/>
      <c r="M293" s="277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38"/>
      <c r="Y293" s="238"/>
    </row>
    <row r="294" spans="9:25">
      <c r="I294" s="190" t="s">
        <v>51</v>
      </c>
      <c r="J294" s="260"/>
      <c r="K294" s="260"/>
      <c r="L294" s="260"/>
      <c r="M294" s="277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38"/>
      <c r="Y294" s="238"/>
    </row>
    <row r="295" spans="9:25">
      <c r="I295" s="190" t="s">
        <v>52</v>
      </c>
      <c r="J295" s="260"/>
      <c r="K295" s="260"/>
      <c r="L295" s="260"/>
      <c r="M295" s="277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38"/>
      <c r="Y295" s="238"/>
    </row>
    <row r="296" spans="9:25" ht="15">
      <c r="I296" s="191" t="s">
        <v>579</v>
      </c>
      <c r="J296" s="260"/>
      <c r="K296" s="260"/>
      <c r="L296" s="260"/>
      <c r="M296" s="277"/>
      <c r="N296" s="260"/>
      <c r="O296" s="260"/>
      <c r="P296" s="260"/>
      <c r="Q296" s="260"/>
      <c r="R296" s="260"/>
      <c r="S296" s="260"/>
      <c r="T296" s="260"/>
      <c r="U296" s="260"/>
      <c r="V296" s="260"/>
      <c r="W296" s="260"/>
      <c r="X296" s="238"/>
      <c r="Y296" s="238"/>
    </row>
    <row r="297" spans="9:25">
      <c r="I297" s="190" t="s">
        <v>53</v>
      </c>
      <c r="J297" s="260"/>
      <c r="K297" s="260"/>
      <c r="L297" s="260"/>
      <c r="M297" s="277"/>
      <c r="N297" s="260"/>
      <c r="O297" s="260"/>
      <c r="P297" s="260"/>
      <c r="Q297" s="260"/>
      <c r="R297" s="260"/>
      <c r="S297" s="260"/>
      <c r="T297" s="260"/>
      <c r="U297" s="260"/>
      <c r="V297" s="260"/>
      <c r="W297" s="260"/>
      <c r="X297" s="238"/>
      <c r="Y297" s="238"/>
    </row>
    <row r="298" spans="9:25">
      <c r="I298" s="190" t="s">
        <v>54</v>
      </c>
      <c r="J298" s="260"/>
      <c r="K298" s="260"/>
      <c r="L298" s="260"/>
      <c r="M298" s="277"/>
      <c r="N298" s="260"/>
      <c r="O298" s="260"/>
      <c r="P298" s="260"/>
      <c r="Q298" s="260"/>
      <c r="R298" s="260"/>
      <c r="S298" s="260"/>
      <c r="T298" s="260"/>
      <c r="U298" s="260"/>
      <c r="V298" s="260"/>
      <c r="W298" s="260"/>
      <c r="X298" s="238"/>
      <c r="Y298" s="238"/>
    </row>
    <row r="299" spans="9:25" ht="15">
      <c r="I299" s="191" t="s">
        <v>580</v>
      </c>
      <c r="J299" s="260"/>
      <c r="K299" s="260"/>
      <c r="L299" s="260"/>
      <c r="M299" s="277"/>
      <c r="N299" s="260"/>
      <c r="O299" s="260"/>
      <c r="P299" s="260"/>
      <c r="Q299" s="260"/>
      <c r="R299" s="260"/>
      <c r="S299" s="260"/>
      <c r="T299" s="260"/>
      <c r="U299" s="260"/>
      <c r="V299" s="260"/>
      <c r="W299" s="260"/>
      <c r="X299" s="238"/>
      <c r="Y299" s="238"/>
    </row>
    <row r="300" spans="9:25" ht="13.5" customHeight="1">
      <c r="I300" s="191" t="s">
        <v>32</v>
      </c>
      <c r="J300" s="260"/>
      <c r="K300" s="260"/>
      <c r="L300" s="260"/>
      <c r="M300" s="277"/>
      <c r="N300" s="260"/>
      <c r="O300" s="260"/>
      <c r="P300" s="260"/>
      <c r="Q300" s="260"/>
      <c r="R300" s="260"/>
      <c r="S300" s="260"/>
      <c r="T300" s="260"/>
      <c r="U300" s="260"/>
      <c r="V300" s="260"/>
      <c r="W300" s="260"/>
      <c r="X300" s="238"/>
      <c r="Y300" s="238"/>
    </row>
    <row r="301" spans="9:25" ht="13.5" customHeight="1">
      <c r="I301" s="191"/>
      <c r="J301" s="260"/>
      <c r="K301" s="260"/>
      <c r="L301" s="260"/>
      <c r="M301" s="277"/>
      <c r="N301" s="260"/>
      <c r="O301" s="260"/>
      <c r="P301" s="260"/>
      <c r="Q301" s="260"/>
      <c r="R301" s="260"/>
      <c r="S301" s="260"/>
      <c r="T301" s="260"/>
      <c r="U301" s="260"/>
      <c r="V301" s="260"/>
      <c r="W301" s="260"/>
      <c r="X301" s="238"/>
      <c r="Y301" s="238"/>
    </row>
    <row r="302" spans="9:25" ht="13.5" customHeight="1">
      <c r="I302" s="192" t="s">
        <v>49</v>
      </c>
      <c r="J302" s="260"/>
      <c r="K302" s="260"/>
      <c r="L302" s="260"/>
      <c r="M302" s="277"/>
      <c r="N302" s="260"/>
      <c r="O302" s="260"/>
      <c r="P302" s="260"/>
      <c r="Q302" s="260"/>
      <c r="R302" s="260"/>
      <c r="S302" s="260"/>
      <c r="T302" s="260"/>
      <c r="U302" s="260"/>
      <c r="V302" s="260"/>
      <c r="W302" s="260"/>
      <c r="X302" s="238"/>
      <c r="Y302" s="238"/>
    </row>
    <row r="303" spans="9:25" ht="13.5" customHeight="1">
      <c r="I303" s="192" t="s">
        <v>583</v>
      </c>
      <c r="J303" s="260"/>
      <c r="K303" s="260"/>
      <c r="L303" s="260"/>
      <c r="M303" s="277"/>
      <c r="N303" s="260"/>
      <c r="O303" s="260"/>
      <c r="P303" s="260"/>
      <c r="Q303" s="260"/>
      <c r="R303" s="260"/>
      <c r="S303" s="260"/>
      <c r="T303" s="260"/>
      <c r="U303" s="260"/>
      <c r="V303" s="260"/>
      <c r="W303" s="260"/>
      <c r="X303" s="238"/>
      <c r="Y303" s="238"/>
    </row>
    <row r="304" spans="9:25" ht="13.5" customHeight="1">
      <c r="I304" s="191" t="s">
        <v>580</v>
      </c>
      <c r="J304" s="260"/>
      <c r="K304" s="260"/>
      <c r="L304" s="260"/>
      <c r="M304" s="277"/>
      <c r="N304" s="260"/>
      <c r="O304" s="260"/>
      <c r="P304" s="260"/>
      <c r="Q304" s="260"/>
      <c r="R304" s="260"/>
      <c r="S304" s="260"/>
      <c r="T304" s="260"/>
      <c r="U304" s="260"/>
      <c r="V304" s="260"/>
      <c r="W304" s="260"/>
      <c r="X304" s="238"/>
      <c r="Y304" s="238"/>
    </row>
    <row r="305" spans="9:25" ht="13.5" customHeight="1">
      <c r="I305" s="191" t="s">
        <v>21</v>
      </c>
      <c r="J305" s="260"/>
      <c r="K305" s="260"/>
      <c r="L305" s="260"/>
      <c r="M305" s="277"/>
      <c r="N305" s="260"/>
      <c r="O305" s="260"/>
      <c r="P305" s="260"/>
      <c r="Q305" s="260"/>
      <c r="R305" s="260"/>
      <c r="S305" s="260"/>
      <c r="T305" s="260"/>
      <c r="U305" s="260"/>
      <c r="V305" s="260"/>
      <c r="W305" s="260"/>
      <c r="X305" s="238"/>
      <c r="Y305" s="238"/>
    </row>
    <row r="306" spans="9:25" ht="13.5" customHeight="1">
      <c r="I306" s="191"/>
      <c r="J306" s="260"/>
      <c r="K306" s="260"/>
      <c r="L306" s="260"/>
      <c r="M306" s="277"/>
      <c r="N306" s="260"/>
      <c r="O306" s="260"/>
      <c r="P306" s="260"/>
      <c r="Q306" s="260"/>
      <c r="R306" s="260"/>
      <c r="S306" s="260"/>
      <c r="T306" s="260"/>
      <c r="U306" s="260"/>
      <c r="V306" s="260"/>
      <c r="W306" s="260"/>
      <c r="X306" s="238"/>
      <c r="Y306" s="238"/>
    </row>
    <row r="307" spans="9:25" ht="13.5" customHeight="1">
      <c r="I307" s="188" t="s">
        <v>585</v>
      </c>
      <c r="J307" s="260"/>
      <c r="K307" s="260"/>
      <c r="L307" s="260"/>
      <c r="M307" s="277"/>
      <c r="N307" s="260"/>
      <c r="O307" s="260"/>
      <c r="P307" s="260"/>
      <c r="Q307" s="260"/>
      <c r="R307" s="260"/>
      <c r="S307" s="260"/>
      <c r="T307" s="260"/>
      <c r="U307" s="260"/>
      <c r="V307" s="260"/>
      <c r="W307" s="260"/>
      <c r="X307" s="238"/>
      <c r="Y307" s="238"/>
    </row>
    <row r="308" spans="9:25" ht="13.5" customHeight="1">
      <c r="I308" s="191"/>
      <c r="J308" s="260"/>
      <c r="K308" s="260"/>
      <c r="L308" s="260"/>
      <c r="M308" s="277"/>
      <c r="N308" s="260"/>
      <c r="O308" s="260"/>
      <c r="P308" s="260"/>
      <c r="Q308" s="260"/>
      <c r="R308" s="260"/>
      <c r="S308" s="260"/>
      <c r="T308" s="260"/>
      <c r="U308" s="260"/>
      <c r="V308" s="260"/>
      <c r="W308" s="260"/>
      <c r="X308" s="238"/>
      <c r="Y308" s="238"/>
    </row>
    <row r="309" spans="9:25" ht="13.5" customHeight="1">
      <c r="I309" s="189" t="s">
        <v>49</v>
      </c>
      <c r="J309" s="260"/>
      <c r="K309" s="260"/>
      <c r="L309" s="260"/>
      <c r="M309" s="277"/>
      <c r="N309" s="260"/>
      <c r="O309" s="260"/>
      <c r="P309" s="260"/>
      <c r="Q309" s="260"/>
      <c r="R309" s="260"/>
      <c r="S309" s="260"/>
      <c r="T309" s="260"/>
      <c r="U309" s="260"/>
      <c r="V309" s="260"/>
      <c r="W309" s="260"/>
      <c r="X309" s="238"/>
      <c r="Y309" s="238"/>
    </row>
    <row r="310" spans="9:25" ht="13.5" customHeight="1">
      <c r="I310" s="190" t="s">
        <v>50</v>
      </c>
      <c r="J310" s="260"/>
      <c r="K310" s="260"/>
      <c r="L310" s="260"/>
      <c r="M310" s="277"/>
      <c r="N310" s="260"/>
      <c r="O310" s="260"/>
      <c r="P310" s="260"/>
      <c r="Q310" s="260"/>
      <c r="R310" s="260"/>
      <c r="S310" s="260"/>
      <c r="T310" s="260"/>
      <c r="U310" s="260"/>
      <c r="V310" s="260"/>
      <c r="W310" s="260"/>
      <c r="X310" s="238"/>
      <c r="Y310" s="238"/>
    </row>
    <row r="311" spans="9:25" ht="13.5" customHeight="1">
      <c r="I311" s="190" t="s">
        <v>51</v>
      </c>
      <c r="J311" s="260"/>
      <c r="K311" s="260"/>
      <c r="L311" s="260"/>
      <c r="M311" s="277"/>
      <c r="N311" s="260"/>
      <c r="O311" s="260"/>
      <c r="P311" s="260"/>
      <c r="Q311" s="260"/>
      <c r="R311" s="260"/>
      <c r="S311" s="260"/>
      <c r="T311" s="260"/>
      <c r="U311" s="260"/>
      <c r="V311" s="260"/>
      <c r="W311" s="260"/>
      <c r="X311" s="238"/>
      <c r="Y311" s="238"/>
    </row>
    <row r="312" spans="9:25" ht="13.5" customHeight="1">
      <c r="I312" s="190" t="s">
        <v>52</v>
      </c>
      <c r="J312" s="260"/>
      <c r="K312" s="260"/>
      <c r="L312" s="260"/>
      <c r="M312" s="277"/>
      <c r="N312" s="260"/>
      <c r="O312" s="260"/>
      <c r="P312" s="260"/>
      <c r="Q312" s="260"/>
      <c r="R312" s="260"/>
      <c r="S312" s="260"/>
      <c r="T312" s="260"/>
      <c r="U312" s="260"/>
      <c r="V312" s="260"/>
      <c r="W312" s="260"/>
      <c r="X312" s="238"/>
      <c r="Y312" s="238"/>
    </row>
    <row r="313" spans="9:25" ht="13.5" customHeight="1">
      <c r="I313" s="191" t="s">
        <v>579</v>
      </c>
      <c r="J313" s="260"/>
      <c r="K313" s="260"/>
      <c r="L313" s="260"/>
      <c r="M313" s="277"/>
      <c r="N313" s="260"/>
      <c r="O313" s="260"/>
      <c r="P313" s="260"/>
      <c r="Q313" s="260"/>
      <c r="R313" s="260"/>
      <c r="S313" s="260"/>
      <c r="T313" s="260"/>
      <c r="U313" s="260"/>
      <c r="V313" s="260"/>
      <c r="W313" s="260"/>
      <c r="X313" s="238"/>
      <c r="Y313" s="238"/>
    </row>
    <row r="314" spans="9:25" ht="13.5" customHeight="1">
      <c r="I314" s="190" t="s">
        <v>53</v>
      </c>
      <c r="J314" s="260"/>
      <c r="K314" s="260"/>
      <c r="L314" s="260"/>
      <c r="M314" s="277"/>
      <c r="N314" s="260"/>
      <c r="O314" s="260"/>
      <c r="P314" s="260"/>
      <c r="Q314" s="260"/>
      <c r="R314" s="260"/>
      <c r="S314" s="260"/>
      <c r="T314" s="260"/>
      <c r="U314" s="260"/>
      <c r="V314" s="260"/>
      <c r="W314" s="260"/>
      <c r="X314" s="238"/>
      <c r="Y314" s="238"/>
    </row>
    <row r="315" spans="9:25" ht="13.5" customHeight="1">
      <c r="I315" s="190" t="s">
        <v>54</v>
      </c>
      <c r="J315" s="260"/>
      <c r="K315" s="260"/>
      <c r="L315" s="260"/>
      <c r="M315" s="277"/>
      <c r="N315" s="260"/>
      <c r="O315" s="260"/>
      <c r="P315" s="260"/>
      <c r="Q315" s="260"/>
      <c r="R315" s="260"/>
      <c r="S315" s="260"/>
      <c r="T315" s="260"/>
      <c r="U315" s="260"/>
      <c r="V315" s="260"/>
      <c r="W315" s="260"/>
      <c r="X315" s="238"/>
      <c r="Y315" s="238"/>
    </row>
    <row r="316" spans="9:25" ht="13.5" customHeight="1">
      <c r="I316" s="191" t="s">
        <v>580</v>
      </c>
      <c r="J316" s="260"/>
      <c r="K316" s="260"/>
      <c r="L316" s="260"/>
      <c r="M316" s="277"/>
      <c r="N316" s="260"/>
      <c r="O316" s="260"/>
      <c r="P316" s="260"/>
      <c r="Q316" s="260"/>
      <c r="R316" s="260"/>
      <c r="S316" s="260"/>
      <c r="T316" s="260"/>
      <c r="U316" s="260"/>
      <c r="V316" s="260"/>
      <c r="W316" s="260"/>
      <c r="X316" s="238"/>
      <c r="Y316" s="238"/>
    </row>
    <row r="317" spans="9:25" ht="13.5" customHeight="1">
      <c r="I317" s="191" t="s">
        <v>32</v>
      </c>
      <c r="J317" s="260"/>
      <c r="K317" s="260"/>
      <c r="L317" s="260"/>
      <c r="M317" s="277"/>
      <c r="N317" s="260"/>
      <c r="O317" s="260"/>
      <c r="P317" s="260"/>
      <c r="Q317" s="260"/>
      <c r="R317" s="260"/>
      <c r="S317" s="260"/>
      <c r="T317" s="260"/>
      <c r="U317" s="260"/>
      <c r="V317" s="260"/>
      <c r="W317" s="260"/>
      <c r="X317" s="238"/>
      <c r="Y317" s="238"/>
    </row>
    <row r="318" spans="9:25" ht="13.5" customHeight="1">
      <c r="I318" s="191"/>
      <c r="J318" s="260"/>
      <c r="K318" s="260"/>
      <c r="L318" s="260"/>
      <c r="M318" s="277"/>
      <c r="N318" s="260"/>
      <c r="O318" s="260"/>
      <c r="P318" s="260"/>
      <c r="Q318" s="260"/>
      <c r="R318" s="260"/>
      <c r="S318" s="260"/>
      <c r="T318" s="260"/>
      <c r="U318" s="260"/>
      <c r="V318" s="260"/>
      <c r="W318" s="260"/>
      <c r="X318" s="238"/>
      <c r="Y318" s="238"/>
    </row>
    <row r="319" spans="9:25" s="208" customFormat="1" ht="15">
      <c r="I319" s="279" t="s">
        <v>65</v>
      </c>
      <c r="J319" s="280"/>
      <c r="K319" s="280"/>
      <c r="L319" s="280"/>
      <c r="M319" s="281"/>
      <c r="N319" s="282"/>
      <c r="O319" s="282"/>
      <c r="P319" s="281"/>
      <c r="Q319" s="103"/>
      <c r="R319" s="280"/>
      <c r="S319" s="280"/>
      <c r="T319" s="280"/>
      <c r="U319" s="280"/>
      <c r="V319" s="280"/>
      <c r="W319" s="283"/>
      <c r="X319" s="235"/>
    </row>
    <row r="320" spans="9:25" ht="15">
      <c r="I320" s="190"/>
      <c r="J320" s="284" t="s">
        <v>2</v>
      </c>
      <c r="K320" s="284" t="s">
        <v>22</v>
      </c>
      <c r="L320" s="284" t="s">
        <v>25</v>
      </c>
      <c r="M320" s="275" t="s">
        <v>44</v>
      </c>
      <c r="N320" s="275" t="s">
        <v>55</v>
      </c>
      <c r="O320" s="275" t="s">
        <v>70</v>
      </c>
      <c r="P320" s="275" t="s">
        <v>72</v>
      </c>
      <c r="Q320" s="275" t="s">
        <v>82</v>
      </c>
      <c r="R320" s="275" t="s">
        <v>83</v>
      </c>
      <c r="S320" s="275" t="s">
        <v>346</v>
      </c>
      <c r="T320" s="275" t="s">
        <v>401</v>
      </c>
      <c r="U320" s="275" t="s">
        <v>412</v>
      </c>
      <c r="V320" s="275" t="s">
        <v>427</v>
      </c>
      <c r="W320" s="285">
        <v>2011</v>
      </c>
      <c r="X320" s="286">
        <v>2012</v>
      </c>
      <c r="Y320" s="286">
        <v>2013</v>
      </c>
    </row>
    <row r="321" spans="9:27">
      <c r="I321" s="287" t="s">
        <v>71</v>
      </c>
      <c r="J321" s="274">
        <v>4</v>
      </c>
      <c r="K321" s="274">
        <v>3</v>
      </c>
      <c r="L321" s="274">
        <v>33</v>
      </c>
      <c r="M321" s="260">
        <v>24</v>
      </c>
      <c r="N321" s="260">
        <v>28</v>
      </c>
      <c r="O321" s="274">
        <v>24</v>
      </c>
      <c r="P321" s="274">
        <v>28</v>
      </c>
      <c r="Q321" s="260">
        <v>31</v>
      </c>
      <c r="R321" s="260">
        <v>30</v>
      </c>
      <c r="S321" s="260">
        <v>32</v>
      </c>
      <c r="T321" s="260">
        <v>34</v>
      </c>
      <c r="U321" s="260">
        <v>34</v>
      </c>
      <c r="V321" s="260">
        <v>34</v>
      </c>
      <c r="X321" s="238"/>
    </row>
    <row r="322" spans="9:27">
      <c r="I322" s="190" t="s">
        <v>23</v>
      </c>
      <c r="J322" s="274">
        <v>1</v>
      </c>
      <c r="K322" s="274">
        <v>1</v>
      </c>
      <c r="L322" s="274">
        <v>16</v>
      </c>
      <c r="M322" s="260">
        <v>22</v>
      </c>
      <c r="N322" s="260">
        <v>24</v>
      </c>
      <c r="O322" s="274">
        <v>17</v>
      </c>
      <c r="P322" s="274">
        <v>34</v>
      </c>
      <c r="Q322" s="260">
        <v>36</v>
      </c>
      <c r="R322" s="260">
        <v>36</v>
      </c>
      <c r="S322" s="260">
        <v>38</v>
      </c>
      <c r="T322" s="260">
        <v>43</v>
      </c>
      <c r="U322" s="260">
        <v>46</v>
      </c>
      <c r="V322" s="260">
        <v>46</v>
      </c>
      <c r="X322" s="238"/>
    </row>
    <row r="323" spans="9:27">
      <c r="I323" s="190" t="s">
        <v>24</v>
      </c>
      <c r="J323" s="274">
        <v>1</v>
      </c>
      <c r="K323" s="274">
        <v>1</v>
      </c>
      <c r="L323" s="274">
        <v>9</v>
      </c>
      <c r="M323" s="260">
        <v>17</v>
      </c>
      <c r="N323" s="260">
        <v>17</v>
      </c>
      <c r="O323" s="274">
        <v>14</v>
      </c>
      <c r="P323" s="274">
        <v>14</v>
      </c>
      <c r="Q323" s="260">
        <v>14</v>
      </c>
      <c r="R323" s="260">
        <v>16</v>
      </c>
      <c r="S323" s="260">
        <v>23</v>
      </c>
      <c r="T323" s="260">
        <v>35</v>
      </c>
      <c r="U323" s="260">
        <v>43</v>
      </c>
      <c r="V323" s="260">
        <v>43</v>
      </c>
      <c r="X323" s="238"/>
    </row>
    <row r="324" spans="9:27" ht="15">
      <c r="I324" s="191" t="s">
        <v>21</v>
      </c>
      <c r="J324" s="288">
        <f t="shared" ref="J324:P324" si="30">SUM(J321:J323)</f>
        <v>6</v>
      </c>
      <c r="K324" s="288">
        <f t="shared" si="30"/>
        <v>5</v>
      </c>
      <c r="L324" s="288">
        <f t="shared" si="30"/>
        <v>58</v>
      </c>
      <c r="M324" s="288">
        <f t="shared" si="30"/>
        <v>63</v>
      </c>
      <c r="N324" s="288">
        <f t="shared" si="30"/>
        <v>69</v>
      </c>
      <c r="O324" s="288">
        <f t="shared" si="30"/>
        <v>55</v>
      </c>
      <c r="P324" s="288">
        <f t="shared" si="30"/>
        <v>76</v>
      </c>
      <c r="Q324" s="276">
        <f t="shared" ref="Q324:V324" si="31">SUM(Q321:Q323)</f>
        <v>81</v>
      </c>
      <c r="R324" s="276">
        <f t="shared" si="31"/>
        <v>82</v>
      </c>
      <c r="S324" s="276">
        <f t="shared" si="31"/>
        <v>93</v>
      </c>
      <c r="T324" s="276">
        <f t="shared" si="31"/>
        <v>112</v>
      </c>
      <c r="U324" s="276">
        <f t="shared" si="31"/>
        <v>123</v>
      </c>
      <c r="V324" s="276">
        <f t="shared" si="31"/>
        <v>123</v>
      </c>
      <c r="X324" s="238"/>
    </row>
    <row r="325" spans="9:27" s="204" customFormat="1" ht="15" customHeight="1">
      <c r="J325" s="214"/>
      <c r="K325" s="214"/>
      <c r="L325" s="214"/>
      <c r="M325" s="214"/>
      <c r="N325" s="214"/>
      <c r="O325" s="214"/>
      <c r="P325" s="214"/>
      <c r="Q325" s="289" t="s">
        <v>71</v>
      </c>
      <c r="R325" s="290"/>
      <c r="S325" s="290">
        <v>2</v>
      </c>
      <c r="T325" s="205"/>
      <c r="U325" s="205"/>
      <c r="V325" s="214"/>
      <c r="W325" s="214"/>
      <c r="X325" s="229"/>
    </row>
    <row r="326" spans="9:27" ht="9.75" hidden="1" customHeight="1">
      <c r="I326" s="291"/>
      <c r="O326" s="226"/>
      <c r="P326" s="226"/>
      <c r="Q326" s="292" t="s">
        <v>23</v>
      </c>
      <c r="R326" s="293"/>
      <c r="S326" s="290">
        <v>2</v>
      </c>
      <c r="T326" s="294"/>
    </row>
    <row r="327" spans="9:27" ht="15" hidden="1">
      <c r="I327" s="287"/>
      <c r="J327" s="276" t="s">
        <v>223</v>
      </c>
      <c r="K327" s="276" t="s">
        <v>223</v>
      </c>
      <c r="L327" s="276" t="s">
        <v>223</v>
      </c>
      <c r="O327" s="214"/>
      <c r="P327" s="214"/>
      <c r="Q327" s="292" t="s">
        <v>24</v>
      </c>
      <c r="R327" s="290">
        <v>2</v>
      </c>
      <c r="S327" s="290">
        <v>7</v>
      </c>
      <c r="T327" s="294"/>
    </row>
    <row r="328" spans="9:27" ht="15" hidden="1">
      <c r="I328" s="295" t="s">
        <v>62</v>
      </c>
      <c r="J328" s="296" t="s">
        <v>224</v>
      </c>
      <c r="K328" s="296" t="s">
        <v>347</v>
      </c>
      <c r="L328" s="296" t="s">
        <v>407</v>
      </c>
      <c r="T328" s="294"/>
    </row>
    <row r="329" spans="9:27" hidden="1">
      <c r="I329" s="190" t="s">
        <v>225</v>
      </c>
      <c r="J329" s="260">
        <v>17</v>
      </c>
      <c r="K329" s="260">
        <v>5</v>
      </c>
      <c r="L329" s="297"/>
      <c r="T329" s="294"/>
    </row>
    <row r="330" spans="9:27" hidden="1">
      <c r="I330" s="190" t="s">
        <v>226</v>
      </c>
      <c r="J330" s="260">
        <v>9</v>
      </c>
      <c r="K330" s="260">
        <v>3</v>
      </c>
      <c r="L330" s="297"/>
      <c r="T330" s="294"/>
    </row>
    <row r="331" spans="9:27" hidden="1">
      <c r="I331" s="190" t="s">
        <v>79</v>
      </c>
      <c r="J331" s="260">
        <v>3</v>
      </c>
      <c r="K331" s="260">
        <v>1</v>
      </c>
      <c r="L331" s="297"/>
      <c r="T331" s="294"/>
    </row>
    <row r="332" spans="9:27" hidden="1">
      <c r="I332" s="190" t="s">
        <v>362</v>
      </c>
      <c r="J332" s="260">
        <v>22</v>
      </c>
      <c r="K332" s="260">
        <v>23</v>
      </c>
      <c r="L332" s="297"/>
      <c r="M332" s="214"/>
      <c r="N332" s="214"/>
      <c r="T332" s="294"/>
    </row>
    <row r="333" spans="9:27" ht="15">
      <c r="J333" s="298">
        <f>SUM(J329:J332)</f>
        <v>51</v>
      </c>
      <c r="K333" s="298">
        <f>SUM(K329:K332)</f>
        <v>32</v>
      </c>
      <c r="T333" s="294"/>
    </row>
    <row r="334" spans="9:27">
      <c r="T334" s="294"/>
    </row>
    <row r="335" spans="9:27" ht="15">
      <c r="I335" s="191" t="s">
        <v>66</v>
      </c>
      <c r="J335" s="274"/>
      <c r="K335" s="274"/>
      <c r="L335" s="260"/>
      <c r="M335" s="260"/>
      <c r="N335" s="260"/>
      <c r="O335" s="299"/>
      <c r="P335" s="274"/>
      <c r="Q335" s="274"/>
      <c r="R335" s="260"/>
      <c r="S335" s="260"/>
      <c r="T335" s="260"/>
      <c r="U335" s="274"/>
      <c r="V335" s="274"/>
      <c r="W335" s="288"/>
      <c r="X335" s="288"/>
      <c r="Y335" s="288"/>
      <c r="Z335" s="288"/>
      <c r="AA335" s="288"/>
    </row>
    <row r="336" spans="9:27" ht="12.75" customHeight="1">
      <c r="I336" s="190"/>
      <c r="J336" s="274"/>
      <c r="K336" s="274"/>
      <c r="L336" s="284" t="s">
        <v>25</v>
      </c>
      <c r="M336" s="284" t="s">
        <v>44</v>
      </c>
      <c r="N336" s="284" t="s">
        <v>55</v>
      </c>
      <c r="O336" s="284" t="s">
        <v>70</v>
      </c>
      <c r="P336" s="284" t="s">
        <v>72</v>
      </c>
      <c r="Q336" s="284" t="s">
        <v>82</v>
      </c>
      <c r="R336" s="284" t="s">
        <v>83</v>
      </c>
      <c r="S336" s="284" t="s">
        <v>346</v>
      </c>
      <c r="T336" s="284" t="s">
        <v>401</v>
      </c>
      <c r="U336" s="284" t="s">
        <v>412</v>
      </c>
      <c r="V336" s="288" t="s">
        <v>427</v>
      </c>
      <c r="W336" s="285">
        <v>2011</v>
      </c>
      <c r="X336" s="286">
        <v>2012</v>
      </c>
      <c r="Y336" s="286">
        <v>2013</v>
      </c>
      <c r="Z336" s="286"/>
      <c r="AA336" s="286"/>
    </row>
    <row r="337" spans="9:27" ht="12.75" customHeight="1">
      <c r="I337" s="190" t="s">
        <v>39</v>
      </c>
      <c r="J337" s="274"/>
      <c r="K337" s="274"/>
      <c r="L337" s="274">
        <v>63</v>
      </c>
      <c r="M337" s="274">
        <v>39</v>
      </c>
      <c r="N337" s="274">
        <v>52</v>
      </c>
      <c r="O337" s="274">
        <v>42.650442477876105</v>
      </c>
      <c r="P337" s="274">
        <v>72</v>
      </c>
      <c r="Q337" s="274">
        <v>44</v>
      </c>
      <c r="R337" s="300">
        <v>84.18</v>
      </c>
      <c r="S337" s="300">
        <v>62</v>
      </c>
      <c r="T337" s="300">
        <v>83</v>
      </c>
      <c r="U337" s="260">
        <v>75</v>
      </c>
      <c r="V337" s="274">
        <v>64</v>
      </c>
      <c r="W337" s="274">
        <v>67</v>
      </c>
      <c r="X337" s="274">
        <v>51</v>
      </c>
      <c r="Y337" s="274">
        <v>75</v>
      </c>
    </row>
    <row r="338" spans="9:27" ht="12.75" customHeight="1">
      <c r="I338" s="190" t="s">
        <v>38</v>
      </c>
      <c r="J338" s="274"/>
      <c r="K338" s="274"/>
      <c r="L338" s="274">
        <v>82</v>
      </c>
      <c r="M338" s="274">
        <v>38</v>
      </c>
      <c r="N338" s="274">
        <v>25</v>
      </c>
      <c r="O338" s="274">
        <v>44.004424778761056</v>
      </c>
      <c r="P338" s="274">
        <v>60</v>
      </c>
      <c r="Q338" s="274">
        <v>78</v>
      </c>
      <c r="R338" s="300">
        <v>78.08</v>
      </c>
      <c r="S338" s="300">
        <v>101</v>
      </c>
      <c r="T338" s="300">
        <v>76</v>
      </c>
      <c r="U338" s="260">
        <v>80</v>
      </c>
      <c r="V338" s="274">
        <v>110</v>
      </c>
      <c r="W338" s="274">
        <v>114</v>
      </c>
      <c r="X338" s="274">
        <v>54</v>
      </c>
      <c r="Y338" s="274">
        <v>158</v>
      </c>
    </row>
    <row r="339" spans="9:27" ht="12.75" customHeight="1">
      <c r="I339" s="190" t="s">
        <v>40</v>
      </c>
      <c r="J339" s="274"/>
      <c r="K339" s="274"/>
      <c r="L339" s="274">
        <v>27</v>
      </c>
      <c r="M339" s="274">
        <v>49</v>
      </c>
      <c r="N339" s="274">
        <v>38</v>
      </c>
      <c r="O339" s="274">
        <v>50.097345132743357</v>
      </c>
      <c r="P339" s="274">
        <v>42</v>
      </c>
      <c r="Q339" s="274">
        <v>77</v>
      </c>
      <c r="R339" s="300">
        <v>71.37</v>
      </c>
      <c r="S339" s="300">
        <v>46</v>
      </c>
      <c r="T339" s="300">
        <v>75</v>
      </c>
      <c r="U339" s="260">
        <v>105</v>
      </c>
      <c r="V339" s="274">
        <v>62</v>
      </c>
      <c r="W339" s="274">
        <v>56</v>
      </c>
      <c r="X339" s="274">
        <v>136</v>
      </c>
      <c r="Y339" s="274">
        <v>69</v>
      </c>
    </row>
    <row r="340" spans="9:27" ht="12.75" customHeight="1">
      <c r="I340" s="190" t="s">
        <v>41</v>
      </c>
      <c r="J340" s="274"/>
      <c r="K340" s="274"/>
      <c r="L340" s="274">
        <v>25</v>
      </c>
      <c r="M340" s="274">
        <v>6</v>
      </c>
      <c r="N340" s="274">
        <v>11</v>
      </c>
      <c r="O340" s="274">
        <v>16.247787610619472</v>
      </c>
      <c r="P340" s="274">
        <v>7</v>
      </c>
      <c r="Q340" s="274">
        <v>13</v>
      </c>
      <c r="R340" s="300">
        <v>10.37</v>
      </c>
      <c r="S340" s="300">
        <v>16</v>
      </c>
      <c r="T340" s="300">
        <v>24</v>
      </c>
      <c r="U340" s="260">
        <v>19</v>
      </c>
      <c r="V340" s="274">
        <v>49</v>
      </c>
      <c r="W340" s="274">
        <v>53</v>
      </c>
      <c r="X340" s="274">
        <v>62</v>
      </c>
      <c r="Y340" s="274">
        <v>61</v>
      </c>
    </row>
    <row r="341" spans="9:27" ht="12.75" customHeight="1">
      <c r="I341" s="190" t="s">
        <v>32</v>
      </c>
      <c r="J341" s="274"/>
      <c r="K341" s="274"/>
      <c r="L341" s="288">
        <f t="shared" ref="L341:R341" si="32">SUM(L337:L340)</f>
        <v>197</v>
      </c>
      <c r="M341" s="288">
        <f t="shared" si="32"/>
        <v>132</v>
      </c>
      <c r="N341" s="288">
        <f t="shared" si="32"/>
        <v>126</v>
      </c>
      <c r="O341" s="288">
        <f t="shared" si="32"/>
        <v>153</v>
      </c>
      <c r="P341" s="288">
        <f t="shared" si="32"/>
        <v>181</v>
      </c>
      <c r="Q341" s="288">
        <f t="shared" si="32"/>
        <v>212</v>
      </c>
      <c r="R341" s="288">
        <f t="shared" si="32"/>
        <v>244</v>
      </c>
      <c r="S341" s="288">
        <f t="shared" ref="S341:X341" si="33">SUM(S337:S340)</f>
        <v>225</v>
      </c>
      <c r="T341" s="288">
        <f t="shared" si="33"/>
        <v>258</v>
      </c>
      <c r="U341" s="288">
        <f t="shared" si="33"/>
        <v>279</v>
      </c>
      <c r="V341" s="288">
        <f t="shared" si="33"/>
        <v>285</v>
      </c>
      <c r="W341" s="288">
        <f t="shared" si="33"/>
        <v>290</v>
      </c>
      <c r="X341" s="288">
        <f t="shared" si="33"/>
        <v>303</v>
      </c>
      <c r="Y341" s="288">
        <f>SUM(Y337:Y340)</f>
        <v>363</v>
      </c>
    </row>
    <row r="342" spans="9:27" ht="12.75" customHeight="1">
      <c r="I342" s="190" t="s">
        <v>340</v>
      </c>
      <c r="J342" s="274"/>
      <c r="K342" s="274"/>
      <c r="L342" s="274"/>
      <c r="M342" s="274"/>
      <c r="N342" s="301">
        <f t="shared" ref="N342:T342" si="34">N341/M341-1</f>
        <v>-4.5454545454545414E-2</v>
      </c>
      <c r="O342" s="301">
        <f t="shared" si="34"/>
        <v>0.21428571428571419</v>
      </c>
      <c r="P342" s="301">
        <f t="shared" si="34"/>
        <v>0.18300653594771243</v>
      </c>
      <c r="Q342" s="301">
        <f t="shared" si="34"/>
        <v>0.17127071823204409</v>
      </c>
      <c r="R342" s="301">
        <f>R341/Q341-1</f>
        <v>0.15094339622641506</v>
      </c>
      <c r="S342" s="301">
        <f t="shared" si="34"/>
        <v>-7.7868852459016424E-2</v>
      </c>
      <c r="T342" s="301">
        <f t="shared" si="34"/>
        <v>0.14666666666666672</v>
      </c>
      <c r="U342" s="301">
        <f>U341/T341-1</f>
        <v>8.1395348837209225E-2</v>
      </c>
      <c r="V342" s="301">
        <f>V341/U341-1</f>
        <v>2.1505376344086002E-2</v>
      </c>
      <c r="W342" s="301">
        <f>W341/V341-1</f>
        <v>1.7543859649122862E-2</v>
      </c>
      <c r="X342" s="301">
        <f>X341/W341-1</f>
        <v>4.482758620689653E-2</v>
      </c>
      <c r="Y342" s="301">
        <f>Y341/X341-1</f>
        <v>0.19801980198019797</v>
      </c>
    </row>
    <row r="343" spans="9:27" s="204" customFormat="1" ht="16.5">
      <c r="J343" s="214"/>
      <c r="K343" s="214"/>
      <c r="L343" s="214"/>
      <c r="M343" s="245"/>
      <c r="N343" s="245"/>
      <c r="O343" s="245"/>
      <c r="P343" s="245"/>
      <c r="Q343" s="245"/>
      <c r="R343" s="302"/>
      <c r="S343" s="302"/>
      <c r="T343" s="303"/>
      <c r="U343" s="304"/>
      <c r="V343" s="214"/>
      <c r="W343" s="214"/>
    </row>
    <row r="344" spans="9:27" ht="12.75" customHeight="1">
      <c r="I344" s="190" t="s">
        <v>342</v>
      </c>
      <c r="J344" s="274"/>
      <c r="K344" s="274"/>
      <c r="L344" s="274"/>
      <c r="M344" s="305"/>
      <c r="N344" s="288">
        <v>60</v>
      </c>
      <c r="O344" s="288">
        <v>81</v>
      </c>
      <c r="P344" s="288">
        <v>106</v>
      </c>
      <c r="Q344" s="288">
        <v>102</v>
      </c>
      <c r="R344" s="288">
        <v>104</v>
      </c>
      <c r="S344" s="306"/>
      <c r="T344" s="307"/>
      <c r="U344" s="308"/>
    </row>
    <row r="345" spans="9:27" s="204" customFormat="1" ht="12.75" customHeight="1">
      <c r="I345" s="190" t="s">
        <v>343</v>
      </c>
      <c r="J345" s="274"/>
      <c r="K345" s="274"/>
      <c r="L345" s="274"/>
      <c r="M345" s="305"/>
      <c r="N345" s="309">
        <f>N344/P341</f>
        <v>0.33149171270718231</v>
      </c>
      <c r="O345" s="309">
        <f>O344/Q341</f>
        <v>0.38207547169811323</v>
      </c>
      <c r="P345" s="309">
        <f>P344/R341</f>
        <v>0.4344262295081967</v>
      </c>
      <c r="Q345" s="309">
        <f>Q344/S341</f>
        <v>0.45333333333333331</v>
      </c>
      <c r="R345" s="309">
        <f>R344/T341</f>
        <v>0.40310077519379844</v>
      </c>
      <c r="S345" s="306"/>
      <c r="T345" s="307"/>
      <c r="U345" s="308"/>
      <c r="V345" s="214"/>
      <c r="W345" s="214"/>
    </row>
    <row r="346" spans="9:27" s="204" customFormat="1" ht="12.75" customHeight="1">
      <c r="I346" s="190"/>
      <c r="J346" s="274"/>
      <c r="K346" s="274"/>
      <c r="L346" s="274"/>
      <c r="M346" s="305"/>
      <c r="N346" s="309"/>
      <c r="O346" s="309"/>
      <c r="P346" s="309"/>
      <c r="Q346" s="309"/>
      <c r="R346" s="309"/>
      <c r="S346" s="306"/>
      <c r="T346" s="307"/>
      <c r="U346" s="308"/>
      <c r="V346" s="214"/>
      <c r="W346" s="214"/>
    </row>
    <row r="347" spans="9:27" s="204" customFormat="1">
      <c r="J347" s="214"/>
      <c r="K347" s="214"/>
      <c r="L347" s="214"/>
      <c r="M347" s="245"/>
      <c r="N347" s="245"/>
      <c r="O347" s="245"/>
      <c r="P347" s="245"/>
      <c r="Q347" s="245"/>
      <c r="R347" s="205"/>
      <c r="S347" s="205"/>
      <c r="T347" s="205"/>
      <c r="U347" s="205"/>
      <c r="V347" s="214"/>
      <c r="W347" s="214"/>
    </row>
    <row r="348" spans="9:27" s="311" customFormat="1" ht="15">
      <c r="I348" s="310"/>
      <c r="J348" s="310"/>
      <c r="K348" s="276">
        <v>1999</v>
      </c>
      <c r="L348" s="276">
        <v>2000</v>
      </c>
      <c r="M348" s="276">
        <v>2001</v>
      </c>
      <c r="N348" s="276">
        <v>2002</v>
      </c>
      <c r="O348" s="276">
        <v>2003</v>
      </c>
      <c r="P348" s="276">
        <v>2004</v>
      </c>
      <c r="Q348" s="276">
        <v>2005</v>
      </c>
      <c r="R348" s="276">
        <v>2006</v>
      </c>
      <c r="S348" s="276">
        <v>2007</v>
      </c>
      <c r="T348" s="276">
        <v>2008</v>
      </c>
      <c r="U348" s="276">
        <v>2009</v>
      </c>
      <c r="V348" s="276">
        <v>2010</v>
      </c>
      <c r="W348" s="276">
        <v>2011</v>
      </c>
      <c r="X348" s="286">
        <v>2012</v>
      </c>
      <c r="Y348" s="286">
        <v>2013</v>
      </c>
      <c r="Z348" s="286"/>
      <c r="AA348" s="286"/>
    </row>
    <row r="349" spans="9:27" s="311" customFormat="1" ht="15">
      <c r="I349" s="295" t="s">
        <v>363</v>
      </c>
      <c r="J349" s="276"/>
      <c r="K349" s="260">
        <v>2</v>
      </c>
      <c r="L349" s="260">
        <v>0</v>
      </c>
      <c r="M349" s="260">
        <v>0</v>
      </c>
      <c r="N349" s="260">
        <v>0</v>
      </c>
      <c r="O349" s="260">
        <v>2</v>
      </c>
      <c r="P349" s="260">
        <v>4</v>
      </c>
      <c r="Q349" s="260">
        <v>4</v>
      </c>
      <c r="R349" s="260">
        <v>11</v>
      </c>
      <c r="S349" s="260">
        <v>10</v>
      </c>
      <c r="T349" s="260">
        <v>11</v>
      </c>
      <c r="U349" s="260">
        <v>10</v>
      </c>
      <c r="V349" s="260">
        <v>10</v>
      </c>
      <c r="W349" s="260">
        <v>10</v>
      </c>
      <c r="X349" s="260">
        <v>9</v>
      </c>
      <c r="Y349" s="260">
        <v>9</v>
      </c>
    </row>
    <row r="350" spans="9:27" s="311" customFormat="1" ht="15">
      <c r="I350" s="295" t="s">
        <v>592</v>
      </c>
      <c r="J350" s="276"/>
      <c r="K350" s="260"/>
      <c r="L350" s="260"/>
      <c r="M350" s="260"/>
      <c r="N350" s="260"/>
      <c r="O350" s="260"/>
      <c r="P350" s="260">
        <v>1</v>
      </c>
      <c r="Q350" s="260">
        <v>1</v>
      </c>
      <c r="R350" s="260">
        <v>4</v>
      </c>
      <c r="S350" s="260">
        <v>1</v>
      </c>
      <c r="T350" s="260">
        <v>1</v>
      </c>
      <c r="U350" s="312">
        <v>3</v>
      </c>
      <c r="V350" s="312">
        <v>6</v>
      </c>
      <c r="W350" s="312">
        <v>4</v>
      </c>
      <c r="X350" s="312">
        <v>2</v>
      </c>
      <c r="Y350" s="312">
        <v>4</v>
      </c>
    </row>
    <row r="351" spans="9:27" s="311" customFormat="1" ht="15">
      <c r="I351" s="295" t="s">
        <v>445</v>
      </c>
      <c r="J351" s="276"/>
      <c r="K351" s="260"/>
      <c r="L351" s="260"/>
      <c r="M351" s="260"/>
      <c r="N351" s="260"/>
      <c r="O351" s="260"/>
      <c r="P351" s="260"/>
      <c r="Q351" s="260"/>
      <c r="R351" s="260"/>
      <c r="S351" s="260"/>
      <c r="T351" s="260"/>
      <c r="U351" s="312"/>
      <c r="V351" s="312">
        <v>1</v>
      </c>
      <c r="W351" s="312">
        <v>0</v>
      </c>
      <c r="X351" s="260">
        <v>1</v>
      </c>
      <c r="Y351" s="260">
        <v>1</v>
      </c>
    </row>
    <row r="352" spans="9:27" s="311" customFormat="1" ht="15">
      <c r="I352" s="295" t="s">
        <v>593</v>
      </c>
      <c r="J352" s="276"/>
      <c r="K352" s="260"/>
      <c r="L352" s="260"/>
      <c r="M352" s="260"/>
      <c r="N352" s="260"/>
      <c r="O352" s="260"/>
      <c r="P352" s="260"/>
      <c r="Q352" s="260"/>
      <c r="R352" s="260">
        <v>1</v>
      </c>
      <c r="S352" s="260">
        <v>1</v>
      </c>
      <c r="T352" s="260">
        <v>0</v>
      </c>
      <c r="U352" s="312">
        <v>1</v>
      </c>
      <c r="V352" s="312"/>
      <c r="W352" s="312"/>
      <c r="X352" s="312"/>
      <c r="Y352" s="312"/>
    </row>
    <row r="353" spans="9:27" s="311" customFormat="1" ht="15">
      <c r="I353" s="295" t="s">
        <v>594</v>
      </c>
      <c r="J353" s="276"/>
      <c r="K353" s="260"/>
      <c r="L353" s="260"/>
      <c r="M353" s="260"/>
      <c r="N353" s="260"/>
      <c r="O353" s="260"/>
      <c r="P353" s="260"/>
      <c r="Q353" s="260"/>
      <c r="R353" s="260"/>
      <c r="S353" s="260"/>
      <c r="T353" s="260">
        <v>1</v>
      </c>
      <c r="U353" s="312">
        <v>6</v>
      </c>
      <c r="V353" s="312">
        <v>4</v>
      </c>
      <c r="W353" s="312">
        <v>12</v>
      </c>
      <c r="X353" s="312">
        <v>4</v>
      </c>
      <c r="Y353" s="312">
        <v>9</v>
      </c>
    </row>
    <row r="354" spans="9:27" s="311" customFormat="1" ht="15">
      <c r="I354" s="295"/>
      <c r="J354" s="276"/>
      <c r="K354" s="260"/>
      <c r="L354" s="260"/>
      <c r="M354" s="260"/>
      <c r="N354" s="260"/>
      <c r="O354" s="260"/>
      <c r="P354" s="260"/>
      <c r="Q354" s="260"/>
      <c r="R354" s="260"/>
      <c r="S354" s="260"/>
      <c r="T354" s="260"/>
      <c r="U354" s="312"/>
      <c r="V354" s="312"/>
      <c r="W354" s="312">
        <v>1</v>
      </c>
      <c r="X354" s="312">
        <v>1</v>
      </c>
      <c r="Y354" s="312"/>
    </row>
    <row r="355" spans="9:27" s="311" customFormat="1" ht="15">
      <c r="I355" s="276"/>
      <c r="J355" s="276"/>
      <c r="K355" s="260"/>
      <c r="L355" s="260"/>
      <c r="M355" s="260"/>
      <c r="N355" s="260"/>
      <c r="O355" s="260"/>
      <c r="P355" s="260"/>
      <c r="Q355" s="260"/>
      <c r="R355" s="260"/>
      <c r="S355" s="260"/>
      <c r="T355" s="260"/>
      <c r="U355" s="312"/>
      <c r="V355" s="312"/>
      <c r="W355" s="312"/>
      <c r="X355" s="312"/>
      <c r="Y355" s="312"/>
    </row>
    <row r="356" spans="9:27" s="311" customFormat="1" ht="15">
      <c r="I356" s="276"/>
      <c r="J356" s="276"/>
      <c r="K356" s="260"/>
      <c r="L356" s="260"/>
      <c r="M356" s="260"/>
      <c r="N356" s="260"/>
      <c r="O356" s="260"/>
      <c r="P356" s="260"/>
      <c r="Q356" s="260"/>
      <c r="R356" s="260"/>
      <c r="S356" s="260"/>
      <c r="T356" s="260"/>
      <c r="U356" s="312"/>
      <c r="V356" s="312"/>
      <c r="W356" s="312"/>
      <c r="X356" s="312"/>
      <c r="Y356" s="312"/>
    </row>
    <row r="357" spans="9:27" s="311" customFormat="1" ht="15">
      <c r="I357" s="276"/>
      <c r="J357" s="276"/>
      <c r="K357" s="260"/>
      <c r="L357" s="260"/>
      <c r="M357" s="260"/>
      <c r="N357" s="260"/>
      <c r="O357" s="260"/>
      <c r="P357" s="260"/>
      <c r="Q357" s="260"/>
      <c r="R357" s="260"/>
      <c r="S357" s="260"/>
      <c r="T357" s="260"/>
      <c r="U357" s="312"/>
      <c r="V357" s="312"/>
      <c r="W357" s="312"/>
      <c r="X357" s="312"/>
      <c r="Y357" s="312"/>
    </row>
    <row r="358" spans="9:27" s="311" customFormat="1" ht="15">
      <c r="I358" s="276"/>
      <c r="J358" s="276"/>
      <c r="K358" s="260"/>
      <c r="L358" s="260"/>
      <c r="M358" s="260"/>
      <c r="N358" s="260"/>
      <c r="O358" s="260"/>
      <c r="P358" s="260"/>
      <c r="Q358" s="260"/>
      <c r="R358" s="260"/>
      <c r="S358" s="260"/>
      <c r="T358" s="260"/>
      <c r="U358" s="312"/>
      <c r="V358" s="312"/>
      <c r="W358" s="312"/>
      <c r="X358" s="312"/>
      <c r="Y358" s="312"/>
    </row>
    <row r="359" spans="9:27" s="311" customFormat="1" ht="15">
      <c r="I359" s="276"/>
      <c r="J359" s="276"/>
      <c r="K359" s="260"/>
      <c r="L359" s="260"/>
      <c r="M359" s="260"/>
      <c r="N359" s="260"/>
      <c r="O359" s="260"/>
      <c r="P359" s="260"/>
      <c r="Q359" s="260"/>
      <c r="R359" s="260"/>
      <c r="S359" s="260"/>
      <c r="T359" s="260"/>
      <c r="U359" s="312"/>
      <c r="V359" s="312"/>
      <c r="W359" s="312"/>
      <c r="X359" s="312"/>
      <c r="Y359" s="312"/>
    </row>
    <row r="360" spans="9:27" s="311" customFormat="1" ht="15">
      <c r="I360" s="276"/>
      <c r="J360" s="276"/>
      <c r="K360" s="260"/>
      <c r="L360" s="260"/>
      <c r="M360" s="260"/>
      <c r="N360" s="260"/>
      <c r="O360" s="260"/>
      <c r="P360" s="260"/>
      <c r="Q360" s="260"/>
      <c r="R360" s="260"/>
      <c r="S360" s="260"/>
      <c r="T360" s="260"/>
      <c r="U360" s="312"/>
      <c r="V360" s="312"/>
      <c r="W360" s="312"/>
      <c r="X360" s="312"/>
      <c r="Y360" s="312"/>
    </row>
    <row r="361" spans="9:27" s="204" customFormat="1">
      <c r="K361" s="214"/>
      <c r="L361" s="214"/>
      <c r="M361" s="214"/>
      <c r="N361" s="245"/>
      <c r="O361" s="245"/>
      <c r="P361" s="245"/>
      <c r="Q361" s="245"/>
      <c r="R361" s="245"/>
      <c r="S361" s="205"/>
      <c r="T361" s="205"/>
      <c r="V361" s="205"/>
      <c r="W361" s="214"/>
    </row>
    <row r="362" spans="9:27" s="204" customFormat="1" ht="15">
      <c r="I362" s="190"/>
      <c r="J362" s="274"/>
      <c r="K362" s="274"/>
      <c r="L362" s="274"/>
      <c r="M362" s="274"/>
      <c r="N362" s="305"/>
      <c r="O362" s="305"/>
      <c r="P362" s="276">
        <v>2004</v>
      </c>
      <c r="Q362" s="276">
        <v>2005</v>
      </c>
      <c r="R362" s="276">
        <v>2006</v>
      </c>
      <c r="S362" s="276">
        <v>2007</v>
      </c>
      <c r="T362" s="276">
        <v>2008</v>
      </c>
      <c r="U362" s="276">
        <v>2009</v>
      </c>
      <c r="V362" s="276">
        <v>2010</v>
      </c>
      <c r="W362" s="214"/>
    </row>
    <row r="363" spans="9:27" s="204" customFormat="1" ht="15">
      <c r="I363" s="295" t="s">
        <v>365</v>
      </c>
      <c r="J363" s="274"/>
      <c r="K363" s="274"/>
      <c r="L363" s="274"/>
      <c r="M363" s="274"/>
      <c r="N363" s="305"/>
      <c r="O363" s="305"/>
      <c r="P363" s="274">
        <v>7</v>
      </c>
      <c r="Q363" s="274">
        <v>12</v>
      </c>
      <c r="R363" s="274">
        <v>17</v>
      </c>
      <c r="S363" s="274">
        <v>19</v>
      </c>
      <c r="T363" s="260">
        <v>19</v>
      </c>
      <c r="U363" s="312"/>
      <c r="V363" s="312">
        <v>26</v>
      </c>
      <c r="W363" s="214"/>
    </row>
    <row r="364" spans="9:27" s="204" customFormat="1">
      <c r="J364" s="214"/>
      <c r="K364" s="214"/>
      <c r="L364" s="214"/>
      <c r="M364" s="245"/>
      <c r="N364" s="245"/>
      <c r="O364" s="245"/>
      <c r="P364" s="245"/>
      <c r="Q364" s="245"/>
      <c r="R364" s="205"/>
      <c r="S364" s="205"/>
      <c r="T364" s="205"/>
      <c r="U364" s="205"/>
      <c r="V364" s="214"/>
      <c r="W364" s="214"/>
    </row>
    <row r="365" spans="9:27" ht="15">
      <c r="I365" s="219" t="s">
        <v>349</v>
      </c>
      <c r="J365" s="219"/>
      <c r="K365" s="219"/>
      <c r="L365" s="216"/>
      <c r="M365" s="216"/>
      <c r="N365" s="216"/>
      <c r="O365" s="216"/>
      <c r="P365" s="216"/>
      <c r="Q365" s="216"/>
      <c r="R365" s="236"/>
      <c r="S365" s="205"/>
      <c r="T365" s="205"/>
      <c r="U365" s="205"/>
      <c r="V365" s="205"/>
      <c r="W365" s="205"/>
      <c r="X365" s="205"/>
      <c r="Y365" s="205"/>
      <c r="Z365" s="205"/>
      <c r="AA365" s="205"/>
    </row>
    <row r="366" spans="9:27" ht="15">
      <c r="I366" s="215"/>
      <c r="J366" s="215"/>
      <c r="K366" s="215"/>
      <c r="L366" s="220" t="s">
        <v>25</v>
      </c>
      <c r="M366" s="220" t="s">
        <v>44</v>
      </c>
      <c r="N366" s="220" t="s">
        <v>55</v>
      </c>
      <c r="O366" s="220" t="s">
        <v>70</v>
      </c>
      <c r="P366" s="220" t="s">
        <v>72</v>
      </c>
      <c r="Q366" s="220" t="s">
        <v>412</v>
      </c>
      <c r="R366" s="210">
        <v>2013</v>
      </c>
      <c r="S366" s="211"/>
      <c r="T366" s="211"/>
      <c r="U366" s="205"/>
      <c r="V366" s="205"/>
      <c r="W366" s="204"/>
      <c r="X366" s="204"/>
      <c r="Y366" s="204"/>
    </row>
    <row r="367" spans="9:27" ht="15">
      <c r="I367" s="212" t="s">
        <v>67</v>
      </c>
      <c r="J367" s="215"/>
      <c r="K367" s="215"/>
      <c r="L367" s="213">
        <v>792</v>
      </c>
      <c r="M367" s="213">
        <v>549</v>
      </c>
      <c r="N367" s="213">
        <v>506</v>
      </c>
      <c r="O367" s="213">
        <v>546</v>
      </c>
      <c r="P367" s="213">
        <v>578</v>
      </c>
      <c r="Q367" s="313">
        <v>901</v>
      </c>
      <c r="R367" s="222">
        <v>1182</v>
      </c>
      <c r="S367" s="224"/>
      <c r="T367" s="214"/>
      <c r="U367" s="214"/>
      <c r="V367" s="205"/>
      <c r="W367" s="204"/>
      <c r="X367" s="204"/>
      <c r="Y367" s="204"/>
    </row>
    <row r="368" spans="9:27" ht="15">
      <c r="I368" s="212" t="s">
        <v>228</v>
      </c>
      <c r="J368" s="215"/>
      <c r="K368" s="215"/>
      <c r="L368" s="213">
        <v>2793</v>
      </c>
      <c r="M368" s="213">
        <v>2836</v>
      </c>
      <c r="N368" s="213">
        <v>2344</v>
      </c>
      <c r="O368" s="213">
        <v>3118</v>
      </c>
      <c r="P368" s="243">
        <v>3174.1428900000001</v>
      </c>
      <c r="Q368" s="237">
        <v>8123.9157100000002</v>
      </c>
      <c r="R368" s="199">
        <v>9969</v>
      </c>
      <c r="S368" s="205"/>
      <c r="T368" s="314"/>
      <c r="U368" s="386"/>
      <c r="V368" s="214"/>
      <c r="W368" s="204"/>
      <c r="X368" s="204"/>
      <c r="Y368" s="204"/>
    </row>
    <row r="369" spans="7:29" ht="15">
      <c r="I369" s="212" t="s">
        <v>229</v>
      </c>
      <c r="J369" s="215"/>
      <c r="K369" s="215"/>
      <c r="L369" s="243">
        <f t="shared" ref="L369:P369" si="35">L368/L367</f>
        <v>3.5265151515151514</v>
      </c>
      <c r="M369" s="243">
        <f t="shared" si="35"/>
        <v>5.1657559198542806</v>
      </c>
      <c r="N369" s="243">
        <f t="shared" si="35"/>
        <v>4.6324110671936758</v>
      </c>
      <c r="O369" s="243">
        <f t="shared" si="35"/>
        <v>5.7106227106227108</v>
      </c>
      <c r="P369" s="243">
        <f t="shared" si="35"/>
        <v>5.4915966955017304</v>
      </c>
      <c r="Q369" s="243">
        <f t="shared" ref="Q369:R369" si="36">Q368/Q367</f>
        <v>9.0165546170921207</v>
      </c>
      <c r="R369" s="243">
        <f t="shared" si="36"/>
        <v>8.4340101522842641</v>
      </c>
      <c r="S369" s="205"/>
      <c r="T369" s="214"/>
      <c r="U369" s="203"/>
      <c r="V369" s="203"/>
      <c r="W369" s="201"/>
    </row>
    <row r="370" spans="7:29" ht="15">
      <c r="I370" s="212" t="s">
        <v>42</v>
      </c>
      <c r="J370" s="215"/>
      <c r="K370" s="215"/>
      <c r="L370" s="213">
        <v>81</v>
      </c>
      <c r="M370" s="213">
        <v>94</v>
      </c>
      <c r="N370" s="213">
        <v>93</v>
      </c>
      <c r="O370" s="213">
        <v>99</v>
      </c>
      <c r="P370" s="213">
        <v>97</v>
      </c>
      <c r="Q370" s="213">
        <v>130</v>
      </c>
      <c r="R370" s="213">
        <f>R26</f>
        <v>143</v>
      </c>
      <c r="S370" s="205"/>
      <c r="T370" s="214"/>
      <c r="U370" s="203"/>
      <c r="V370" s="203"/>
      <c r="W370" s="201"/>
    </row>
    <row r="371" spans="7:29" ht="15">
      <c r="I371" s="212" t="s">
        <v>230</v>
      </c>
      <c r="J371" s="215"/>
      <c r="K371" s="215"/>
      <c r="L371" s="243">
        <f t="shared" ref="L371:P371" si="37">L368/L370</f>
        <v>34.481481481481481</v>
      </c>
      <c r="M371" s="243">
        <f t="shared" si="37"/>
        <v>30.170212765957448</v>
      </c>
      <c r="N371" s="243">
        <f t="shared" si="37"/>
        <v>25.204301075268816</v>
      </c>
      <c r="O371" s="243">
        <f t="shared" si="37"/>
        <v>31.494949494949495</v>
      </c>
      <c r="P371" s="243">
        <f t="shared" si="37"/>
        <v>32.723122577319586</v>
      </c>
      <c r="Q371" s="243">
        <f t="shared" ref="Q371:R371" si="38">Q368/Q370</f>
        <v>62.491659307692309</v>
      </c>
      <c r="R371" s="243">
        <f t="shared" si="38"/>
        <v>69.713286713286706</v>
      </c>
      <c r="S371" s="205"/>
      <c r="T371" s="205"/>
      <c r="U371" s="203"/>
      <c r="V371" s="203"/>
      <c r="W371" s="201"/>
    </row>
    <row r="372" spans="7:29" ht="15">
      <c r="I372" s="212" t="s">
        <v>411</v>
      </c>
      <c r="J372" s="215"/>
      <c r="K372" s="215"/>
      <c r="L372" s="316"/>
      <c r="M372" s="316"/>
      <c r="N372" s="316"/>
      <c r="O372" s="316"/>
      <c r="P372" s="316">
        <f t="shared" ref="P372" si="39">(P367/O367)-1</f>
        <v>5.8608058608058622E-2</v>
      </c>
      <c r="Q372" s="316">
        <f>(Q367/P367)-1</f>
        <v>0.55882352941176472</v>
      </c>
      <c r="R372" s="316">
        <f>(R367/Q367)-1</f>
        <v>0.31187569367369594</v>
      </c>
      <c r="S372" s="205"/>
      <c r="T372" s="214"/>
      <c r="W372" s="201"/>
    </row>
    <row r="373" spans="7:29">
      <c r="P373" s="202"/>
      <c r="Q373" s="202"/>
      <c r="U373" s="203"/>
      <c r="V373" s="203"/>
      <c r="Y373" s="317"/>
      <c r="Z373" s="242"/>
      <c r="AA373" s="242"/>
      <c r="AB373" s="202"/>
      <c r="AC373" s="238"/>
    </row>
    <row r="374" spans="7:29" ht="15">
      <c r="I374" s="219" t="s">
        <v>80</v>
      </c>
      <c r="J374" s="219"/>
      <c r="K374" s="219"/>
      <c r="L374" s="199"/>
      <c r="M374" s="199"/>
      <c r="N374" s="199"/>
      <c r="O374" s="213"/>
      <c r="P374" s="213"/>
      <c r="Q374" s="213"/>
      <c r="R374" s="199"/>
      <c r="U374" s="203"/>
      <c r="V374" s="203"/>
      <c r="Z374" s="204"/>
      <c r="AA374" s="204"/>
    </row>
    <row r="375" spans="7:29" ht="15">
      <c r="I375" s="236"/>
      <c r="J375" s="236"/>
      <c r="K375" s="236"/>
      <c r="L375" s="213"/>
      <c r="M375" s="199"/>
      <c r="N375" s="199"/>
      <c r="O375" s="199"/>
      <c r="P375" s="199"/>
      <c r="Q375" s="199"/>
      <c r="R375" s="213"/>
      <c r="S375" s="274"/>
      <c r="T375" s="274"/>
      <c r="U375" s="274"/>
      <c r="V375" s="274"/>
      <c r="W375" s="274"/>
      <c r="X375" s="274"/>
      <c r="Z375" s="204"/>
      <c r="AA375" s="204"/>
    </row>
    <row r="376" spans="7:29" ht="15">
      <c r="I376" s="221"/>
      <c r="J376" s="221"/>
      <c r="K376" s="221"/>
      <c r="L376" s="220" t="s">
        <v>25</v>
      </c>
      <c r="M376" s="220" t="s">
        <v>44</v>
      </c>
      <c r="N376" s="220" t="s">
        <v>55</v>
      </c>
      <c r="O376" s="220" t="s">
        <v>70</v>
      </c>
      <c r="P376" s="220" t="s">
        <v>72</v>
      </c>
      <c r="Q376" s="236">
        <v>2009</v>
      </c>
      <c r="R376" s="210">
        <v>2013</v>
      </c>
      <c r="S376" s="211"/>
      <c r="T376" s="211"/>
      <c r="U376" s="320"/>
      <c r="V376" s="238"/>
      <c r="W376" s="201"/>
    </row>
    <row r="377" spans="7:29">
      <c r="I377" s="221" t="s">
        <v>355</v>
      </c>
      <c r="J377" s="221"/>
      <c r="K377" s="221"/>
      <c r="L377" s="213">
        <v>3986.0850298909136</v>
      </c>
      <c r="M377" s="213">
        <v>3934.1128041669908</v>
      </c>
      <c r="N377" s="213">
        <v>3894.5131032935815</v>
      </c>
      <c r="O377" s="213">
        <v>5995</v>
      </c>
      <c r="P377" s="434">
        <f>U213</f>
        <v>7401.1399999999994</v>
      </c>
      <c r="Q377" s="434">
        <f>V213</f>
        <v>28143</v>
      </c>
      <c r="R377" s="435">
        <f>W213</f>
        <v>73954.100000000006</v>
      </c>
      <c r="S377" s="204"/>
      <c r="T377" s="436">
        <f>Q377/P377-1</f>
        <v>2.8025223141299858</v>
      </c>
      <c r="U377" s="436">
        <f>R377/P377-1</f>
        <v>8.992257949451032</v>
      </c>
      <c r="V377" s="436">
        <f>R377/Q377-1</f>
        <v>1.627797320825783</v>
      </c>
      <c r="W377" s="201"/>
    </row>
    <row r="378" spans="7:29">
      <c r="I378" s="221" t="s">
        <v>402</v>
      </c>
      <c r="J378" s="221"/>
      <c r="K378" s="221"/>
      <c r="L378" s="213">
        <v>81</v>
      </c>
      <c r="M378" s="213">
        <v>94</v>
      </c>
      <c r="N378" s="213">
        <v>93</v>
      </c>
      <c r="O378" s="213">
        <v>99</v>
      </c>
      <c r="P378" s="213">
        <v>97</v>
      </c>
      <c r="Q378" s="213">
        <v>130</v>
      </c>
      <c r="R378" s="221">
        <v>143</v>
      </c>
      <c r="S378" s="204"/>
      <c r="T378" s="204"/>
      <c r="U378" s="204"/>
      <c r="V378" s="201"/>
      <c r="W378" s="201"/>
    </row>
    <row r="379" spans="7:29">
      <c r="I379" s="221" t="s">
        <v>356</v>
      </c>
      <c r="J379" s="221"/>
      <c r="K379" s="221"/>
      <c r="L379" s="213"/>
      <c r="M379" s="213"/>
      <c r="N379" s="213"/>
      <c r="O379" s="213">
        <f>O29</f>
        <v>36</v>
      </c>
      <c r="P379" s="213">
        <f>P29</f>
        <v>35</v>
      </c>
      <c r="Q379" s="213">
        <f>Q75</f>
        <v>48</v>
      </c>
      <c r="R379" s="213">
        <f>R75</f>
        <v>52</v>
      </c>
      <c r="S379" s="204"/>
      <c r="T379" s="204"/>
      <c r="U379" s="204"/>
      <c r="V379" s="201"/>
      <c r="W379" s="201"/>
    </row>
    <row r="380" spans="7:29" ht="15">
      <c r="I380" s="221" t="s">
        <v>364</v>
      </c>
      <c r="J380" s="221"/>
      <c r="K380" s="221"/>
      <c r="L380" s="243">
        <f t="shared" ref="L380:P380" si="40">L377/L378</f>
        <v>49.210926294949552</v>
      </c>
      <c r="M380" s="243">
        <f t="shared" si="40"/>
        <v>41.852263874116922</v>
      </c>
      <c r="N380" s="243">
        <f t="shared" si="40"/>
        <v>41.876484981651416</v>
      </c>
      <c r="O380" s="243">
        <f t="shared" si="40"/>
        <v>60.555555555555557</v>
      </c>
      <c r="P380" s="243">
        <f t="shared" si="40"/>
        <v>76.300412371134016</v>
      </c>
      <c r="Q380" s="243">
        <f>Q377/Q378</f>
        <v>216.48461538461538</v>
      </c>
      <c r="R380" s="243">
        <f>R377/R378</f>
        <v>517.1615384615385</v>
      </c>
      <c r="S380" s="204"/>
      <c r="T380" s="321"/>
      <c r="U380" s="204"/>
      <c r="V380" s="201"/>
      <c r="W380" s="201"/>
    </row>
    <row r="381" spans="7:29" s="204" customFormat="1">
      <c r="J381" s="247"/>
      <c r="K381" s="247"/>
      <c r="L381" s="247"/>
      <c r="M381" s="247"/>
      <c r="N381" s="247"/>
      <c r="O381" s="247"/>
      <c r="P381" s="247"/>
      <c r="Q381" s="247"/>
      <c r="R381" s="247"/>
      <c r="S381" s="247"/>
      <c r="T381" s="247"/>
      <c r="U381" s="247"/>
      <c r="V381" s="247"/>
      <c r="W381" s="247"/>
      <c r="X381" s="271"/>
      <c r="Y381" s="229"/>
    </row>
    <row r="382" spans="7:29" s="204" customFormat="1">
      <c r="I382" s="221"/>
      <c r="J382" s="253"/>
      <c r="K382" s="253"/>
      <c r="L382" s="253"/>
      <c r="M382" s="253"/>
      <c r="N382" s="253"/>
      <c r="O382" s="253"/>
      <c r="P382" s="253"/>
      <c r="Q382" s="253"/>
      <c r="R382" s="253"/>
      <c r="S382" s="247"/>
      <c r="T382" s="247"/>
      <c r="U382" s="247"/>
      <c r="V382" s="247"/>
      <c r="W382" s="247"/>
      <c r="X382" s="271"/>
      <c r="Y382" s="229"/>
    </row>
    <row r="383" spans="7:29" s="204" customFormat="1" ht="12.75" customHeight="1">
      <c r="G383" s="221"/>
      <c r="H383" s="221"/>
      <c r="I383" s="219" t="s">
        <v>439</v>
      </c>
      <c r="J383" s="272" t="s">
        <v>2</v>
      </c>
      <c r="K383" s="272" t="s">
        <v>22</v>
      </c>
      <c r="L383" s="272" t="s">
        <v>25</v>
      </c>
      <c r="M383" s="272" t="s">
        <v>44</v>
      </c>
      <c r="N383" s="272" t="s">
        <v>55</v>
      </c>
      <c r="O383" s="236" t="s">
        <v>70</v>
      </c>
      <c r="P383" s="236" t="s">
        <v>72</v>
      </c>
      <c r="Q383" s="236">
        <v>2009</v>
      </c>
      <c r="R383" s="210">
        <v>2013</v>
      </c>
      <c r="S383" s="211"/>
      <c r="T383" s="211"/>
    </row>
    <row r="384" spans="7:29" s="204" customFormat="1">
      <c r="G384" s="221"/>
      <c r="H384" s="221"/>
      <c r="I384" s="221" t="s">
        <v>438</v>
      </c>
      <c r="J384" s="213">
        <f t="shared" ref="J384:P384" si="41">J391</f>
        <v>1609</v>
      </c>
      <c r="K384" s="213">
        <f t="shared" si="41"/>
        <v>2329</v>
      </c>
      <c r="L384" s="213">
        <f t="shared" si="41"/>
        <v>5253.4</v>
      </c>
      <c r="M384" s="213">
        <f t="shared" si="41"/>
        <v>5767.9</v>
      </c>
      <c r="N384" s="213">
        <f t="shared" si="41"/>
        <v>5670</v>
      </c>
      <c r="O384" s="213">
        <f t="shared" si="41"/>
        <v>5995.4</v>
      </c>
      <c r="P384" s="213">
        <f t="shared" si="41"/>
        <v>8534.6</v>
      </c>
      <c r="Q384" s="213">
        <f>U391</f>
        <v>41354.199999999997</v>
      </c>
      <c r="R384" s="213">
        <v>83578</v>
      </c>
      <c r="S384" s="242"/>
      <c r="T384" s="242"/>
    </row>
    <row r="385" spans="7:28" s="204" customFormat="1">
      <c r="G385" s="221"/>
      <c r="H385" s="221"/>
      <c r="I385" s="221" t="s">
        <v>227</v>
      </c>
      <c r="J385" s="213">
        <f t="shared" ref="J385:P385" si="42">J392+J393+J394+J395</f>
        <v>3429</v>
      </c>
      <c r="K385" s="213">
        <f t="shared" si="42"/>
        <v>5568</v>
      </c>
      <c r="L385" s="213">
        <f t="shared" si="42"/>
        <v>8088.2</v>
      </c>
      <c r="M385" s="213">
        <f t="shared" si="42"/>
        <v>9207.5</v>
      </c>
      <c r="N385" s="213">
        <f t="shared" si="42"/>
        <v>11208</v>
      </c>
      <c r="O385" s="213">
        <f t="shared" si="42"/>
        <v>14975.626119999999</v>
      </c>
      <c r="P385" s="213">
        <f t="shared" si="42"/>
        <v>12625.699999999999</v>
      </c>
      <c r="Q385" s="213">
        <f>U392</f>
        <v>37955.940630000005</v>
      </c>
      <c r="R385" s="213">
        <v>58282</v>
      </c>
      <c r="S385" s="242"/>
      <c r="T385" s="242"/>
    </row>
    <row r="386" spans="7:28" s="204" customFormat="1">
      <c r="G386" s="221"/>
      <c r="H386" s="221"/>
      <c r="I386" s="221" t="s">
        <v>19</v>
      </c>
      <c r="J386" s="213">
        <f t="shared" ref="J386:P386" si="43">J396</f>
        <v>38010</v>
      </c>
      <c r="K386" s="213">
        <f t="shared" si="43"/>
        <v>48301</v>
      </c>
      <c r="L386" s="213">
        <f t="shared" si="43"/>
        <v>59176</v>
      </c>
      <c r="M386" s="213">
        <f t="shared" si="43"/>
        <v>69173.7</v>
      </c>
      <c r="N386" s="213">
        <f t="shared" si="43"/>
        <v>67670</v>
      </c>
      <c r="O386" s="213">
        <f t="shared" si="43"/>
        <v>87711</v>
      </c>
      <c r="P386" s="213">
        <f t="shared" si="43"/>
        <v>84301.8</v>
      </c>
      <c r="Q386" s="213">
        <f>U396</f>
        <v>128805.3</v>
      </c>
      <c r="R386" s="213">
        <v>177942.11199999999</v>
      </c>
      <c r="S386" s="242"/>
      <c r="T386" s="242"/>
    </row>
    <row r="387" spans="7:28" s="204" customFormat="1" ht="15">
      <c r="G387" s="221"/>
      <c r="H387" s="221"/>
      <c r="I387" s="221" t="s">
        <v>48</v>
      </c>
      <c r="J387" s="216">
        <f t="shared" ref="J387:P387" si="44">SUM(J384:J386)</f>
        <v>43048</v>
      </c>
      <c r="K387" s="216">
        <f t="shared" si="44"/>
        <v>56198</v>
      </c>
      <c r="L387" s="216">
        <f t="shared" si="44"/>
        <v>72517.600000000006</v>
      </c>
      <c r="M387" s="216">
        <f t="shared" si="44"/>
        <v>84149.099999999991</v>
      </c>
      <c r="N387" s="216">
        <f t="shared" si="44"/>
        <v>84548</v>
      </c>
      <c r="O387" s="216">
        <f t="shared" si="44"/>
        <v>108682.02611999999</v>
      </c>
      <c r="P387" s="216">
        <f t="shared" si="44"/>
        <v>105462.1</v>
      </c>
      <c r="Q387" s="216">
        <f t="shared" ref="Q387:R387" si="45">SUM(Q384:Q386)</f>
        <v>208115.44063000003</v>
      </c>
      <c r="R387" s="216">
        <f t="shared" si="45"/>
        <v>319802.11199999996</v>
      </c>
      <c r="S387" s="242"/>
      <c r="T387" s="242"/>
    </row>
    <row r="388" spans="7:28" s="204" customFormat="1" ht="15">
      <c r="J388" s="322"/>
      <c r="K388" s="322"/>
      <c r="L388" s="322"/>
      <c r="M388" s="322"/>
      <c r="N388" s="322"/>
      <c r="O388" s="322"/>
      <c r="P388" s="322"/>
      <c r="Q388" s="322"/>
      <c r="R388" s="322"/>
      <c r="S388" s="322"/>
      <c r="T388" s="322"/>
      <c r="U388" s="322"/>
      <c r="V388" s="322"/>
      <c r="W388" s="322"/>
      <c r="X388" s="242"/>
      <c r="Y388" s="242"/>
      <c r="Z388" s="242"/>
      <c r="AA388" s="242"/>
    </row>
    <row r="389" spans="7:28" s="204" customFormat="1" ht="15">
      <c r="I389" s="191" t="s">
        <v>395</v>
      </c>
      <c r="J389" s="260"/>
      <c r="K389" s="260"/>
      <c r="L389" s="260"/>
      <c r="M389" s="260"/>
      <c r="N389" s="260"/>
      <c r="O389" s="260"/>
      <c r="P389" s="260"/>
      <c r="Q389" s="260"/>
      <c r="R389" s="260"/>
      <c r="S389" s="260"/>
      <c r="T389" s="260"/>
      <c r="U389" s="260"/>
      <c r="V389" s="260"/>
      <c r="W389" s="260"/>
      <c r="X389" s="260"/>
      <c r="Y389" s="260"/>
      <c r="Z389" s="205"/>
      <c r="AA389" s="205"/>
    </row>
    <row r="390" spans="7:28" s="204" customFormat="1" ht="12.75" customHeight="1">
      <c r="I390" s="190"/>
      <c r="J390" s="275" t="s">
        <v>2</v>
      </c>
      <c r="K390" s="275" t="s">
        <v>22</v>
      </c>
      <c r="L390" s="275" t="s">
        <v>25</v>
      </c>
      <c r="M390" s="275" t="s">
        <v>44</v>
      </c>
      <c r="N390" s="275" t="s">
        <v>55</v>
      </c>
      <c r="O390" s="276" t="s">
        <v>70</v>
      </c>
      <c r="P390" s="276" t="s">
        <v>72</v>
      </c>
      <c r="Q390" s="276">
        <v>2005</v>
      </c>
      <c r="R390" s="275" t="s">
        <v>83</v>
      </c>
      <c r="S390" s="275">
        <v>2007</v>
      </c>
      <c r="T390" s="276">
        <v>2008</v>
      </c>
      <c r="U390" s="275" t="s">
        <v>412</v>
      </c>
      <c r="V390" s="275">
        <v>2010</v>
      </c>
      <c r="W390" s="275">
        <v>2011</v>
      </c>
      <c r="X390" s="286">
        <v>2012</v>
      </c>
      <c r="Y390" s="286">
        <v>2013</v>
      </c>
      <c r="Z390" s="211"/>
      <c r="AA390" s="211"/>
      <c r="AB390" s="208"/>
    </row>
    <row r="391" spans="7:28" s="204" customFormat="1">
      <c r="I391" s="190" t="s">
        <v>20</v>
      </c>
      <c r="J391" s="274">
        <v>1609</v>
      </c>
      <c r="K391" s="274">
        <v>2329</v>
      </c>
      <c r="L391" s="274">
        <v>5253.4</v>
      </c>
      <c r="M391" s="274">
        <v>5767.9</v>
      </c>
      <c r="N391" s="274">
        <v>5670</v>
      </c>
      <c r="O391" s="274">
        <v>5995.4</v>
      </c>
      <c r="P391" s="274">
        <v>8534.6</v>
      </c>
      <c r="Q391" s="274">
        <v>12443.5</v>
      </c>
      <c r="R391" s="323">
        <f>14258.8</f>
        <v>14258.8</v>
      </c>
      <c r="S391" s="274">
        <v>16791.21</v>
      </c>
      <c r="T391" s="305">
        <v>23903.67</v>
      </c>
      <c r="U391" s="305">
        <v>41354.199999999997</v>
      </c>
      <c r="V391" s="305">
        <v>63615.7</v>
      </c>
      <c r="W391" s="305"/>
      <c r="X391" s="274">
        <v>64035</v>
      </c>
      <c r="Y391" s="305"/>
      <c r="Z391" s="245"/>
      <c r="AA391" s="245"/>
      <c r="AB391" s="208"/>
    </row>
    <row r="392" spans="7:28" s="204" customFormat="1">
      <c r="I392" s="190" t="s">
        <v>14</v>
      </c>
      <c r="J392" s="274">
        <v>2258</v>
      </c>
      <c r="K392" s="274">
        <v>3619</v>
      </c>
      <c r="L392" s="274">
        <v>6859</v>
      </c>
      <c r="M392" s="274">
        <v>7330.9</v>
      </c>
      <c r="N392" s="274">
        <v>9391</v>
      </c>
      <c r="O392" s="274">
        <v>12719.626119999999</v>
      </c>
      <c r="P392" s="274">
        <v>12399.4</v>
      </c>
      <c r="Q392" s="323">
        <v>31627.180069999999</v>
      </c>
      <c r="R392" s="323">
        <f>35178.977</f>
        <v>35178.976999999999</v>
      </c>
      <c r="S392" s="274">
        <v>55959.262000000002</v>
      </c>
      <c r="T392" s="305">
        <v>16668</v>
      </c>
      <c r="U392" s="305">
        <v>37955.940630000005</v>
      </c>
      <c r="V392" s="305">
        <v>39222.400000000001</v>
      </c>
      <c r="W392" s="305"/>
      <c r="X392" s="274">
        <v>55112</v>
      </c>
      <c r="Y392" s="305"/>
      <c r="Z392" s="245"/>
      <c r="AA392" s="245"/>
      <c r="AB392" s="208"/>
    </row>
    <row r="393" spans="7:28" s="204" customFormat="1">
      <c r="I393" s="190" t="s">
        <v>15</v>
      </c>
      <c r="J393" s="274">
        <v>562</v>
      </c>
      <c r="K393" s="274">
        <v>932</v>
      </c>
      <c r="L393" s="274">
        <v>176.5</v>
      </c>
      <c r="M393" s="274">
        <v>587.6</v>
      </c>
      <c r="N393" s="274">
        <v>96</v>
      </c>
      <c r="O393" s="274">
        <v>123</v>
      </c>
      <c r="P393" s="274">
        <v>0</v>
      </c>
      <c r="Q393" s="274"/>
      <c r="R393" s="260"/>
      <c r="S393" s="274"/>
      <c r="T393" s="190"/>
      <c r="U393" s="260"/>
      <c r="V393" s="260"/>
      <c r="W393" s="260"/>
      <c r="X393" s="305"/>
      <c r="Y393" s="305"/>
      <c r="Z393" s="245"/>
      <c r="AA393" s="245"/>
      <c r="AB393" s="324"/>
    </row>
    <row r="394" spans="7:28" s="204" customFormat="1">
      <c r="I394" s="190" t="s">
        <v>16</v>
      </c>
      <c r="J394" s="274">
        <v>609</v>
      </c>
      <c r="K394" s="274">
        <v>693</v>
      </c>
      <c r="L394" s="274">
        <v>716.4</v>
      </c>
      <c r="M394" s="274">
        <v>1253</v>
      </c>
      <c r="N394" s="274">
        <v>1515</v>
      </c>
      <c r="O394" s="274">
        <v>78</v>
      </c>
      <c r="P394" s="274">
        <v>226.3</v>
      </c>
      <c r="Q394" s="274"/>
      <c r="R394" s="260"/>
      <c r="S394" s="274"/>
      <c r="T394" s="274"/>
      <c r="U394" s="260"/>
      <c r="V394" s="260"/>
      <c r="W394" s="260"/>
      <c r="X394" s="305"/>
      <c r="Y394" s="305"/>
      <c r="Z394" s="245"/>
      <c r="AA394" s="245"/>
    </row>
    <row r="395" spans="7:28" s="204" customFormat="1">
      <c r="I395" s="190" t="s">
        <v>4</v>
      </c>
      <c r="J395" s="274"/>
      <c r="K395" s="274">
        <v>324</v>
      </c>
      <c r="L395" s="274">
        <v>336.3</v>
      </c>
      <c r="M395" s="274">
        <v>36</v>
      </c>
      <c r="N395" s="274">
        <v>206</v>
      </c>
      <c r="O395" s="274">
        <v>2055</v>
      </c>
      <c r="P395" s="274">
        <v>0</v>
      </c>
      <c r="Q395" s="274"/>
      <c r="R395" s="274"/>
      <c r="S395" s="274"/>
      <c r="T395" s="274"/>
      <c r="U395" s="260"/>
      <c r="V395" s="260"/>
      <c r="W395" s="260"/>
      <c r="X395" s="305"/>
      <c r="Y395" s="305"/>
      <c r="Z395" s="245"/>
      <c r="AA395" s="245"/>
    </row>
    <row r="396" spans="7:28" s="204" customFormat="1">
      <c r="I396" s="190" t="s">
        <v>19</v>
      </c>
      <c r="J396" s="274">
        <v>38010</v>
      </c>
      <c r="K396" s="274">
        <v>48301</v>
      </c>
      <c r="L396" s="274">
        <v>59176</v>
      </c>
      <c r="M396" s="274">
        <v>69173.7</v>
      </c>
      <c r="N396" s="274">
        <v>67670</v>
      </c>
      <c r="O396" s="274">
        <v>87711</v>
      </c>
      <c r="P396" s="274">
        <v>84301.8</v>
      </c>
      <c r="Q396" s="274">
        <v>88311.312999999995</v>
      </c>
      <c r="R396" s="323">
        <f>95553.6</f>
        <v>95553.600000000006</v>
      </c>
      <c r="S396" s="274">
        <v>108579.151</v>
      </c>
      <c r="T396" s="305">
        <v>121495</v>
      </c>
      <c r="U396" s="305">
        <v>128805.3</v>
      </c>
      <c r="V396" s="305">
        <v>136270.47810000001</v>
      </c>
      <c r="W396" s="305"/>
      <c r="X396" s="325">
        <v>148137</v>
      </c>
      <c r="Y396" s="305"/>
      <c r="Z396" s="245"/>
      <c r="AA396" s="245"/>
    </row>
    <row r="397" spans="7:28" s="204" customFormat="1">
      <c r="I397" s="190"/>
      <c r="J397" s="260"/>
      <c r="K397" s="260"/>
      <c r="L397" s="260"/>
      <c r="M397" s="260"/>
      <c r="N397" s="260"/>
      <c r="O397" s="274"/>
      <c r="P397" s="260"/>
      <c r="Q397" s="260"/>
      <c r="R397" s="260"/>
      <c r="S397" s="260"/>
      <c r="T397" s="189"/>
      <c r="U397" s="323"/>
      <c r="V397" s="323"/>
      <c r="W397" s="323"/>
      <c r="X397" s="305"/>
      <c r="Y397" s="305"/>
      <c r="Z397" s="245"/>
      <c r="AA397" s="245"/>
    </row>
    <row r="398" spans="7:28" s="204" customFormat="1">
      <c r="I398" s="190"/>
      <c r="J398" s="274">
        <f t="shared" ref="J398:P398" si="46">SUM(J391:J396)</f>
        <v>43048</v>
      </c>
      <c r="K398" s="274">
        <f t="shared" si="46"/>
        <v>56198</v>
      </c>
      <c r="L398" s="274">
        <f t="shared" si="46"/>
        <v>72517.600000000006</v>
      </c>
      <c r="M398" s="274">
        <f t="shared" si="46"/>
        <v>84149.099999999991</v>
      </c>
      <c r="N398" s="274">
        <f t="shared" si="46"/>
        <v>84548</v>
      </c>
      <c r="O398" s="274">
        <f t="shared" si="46"/>
        <v>108682.02611999999</v>
      </c>
      <c r="P398" s="274">
        <f t="shared" si="46"/>
        <v>105462.1</v>
      </c>
      <c r="Q398" s="274">
        <f t="shared" ref="Q398:V398" si="47">SUM(Q391:Q397)</f>
        <v>132381.99307</v>
      </c>
      <c r="R398" s="274">
        <f t="shared" si="47"/>
        <v>144991.37700000001</v>
      </c>
      <c r="S398" s="274">
        <f t="shared" si="47"/>
        <v>181329.62300000002</v>
      </c>
      <c r="T398" s="274">
        <f t="shared" si="47"/>
        <v>162066.66999999998</v>
      </c>
      <c r="U398" s="274">
        <f t="shared" si="47"/>
        <v>208115.44063000003</v>
      </c>
      <c r="V398" s="274">
        <f t="shared" si="47"/>
        <v>239108.57810000001</v>
      </c>
      <c r="W398" s="274"/>
      <c r="X398" s="305"/>
      <c r="Y398" s="305"/>
      <c r="Z398" s="245"/>
      <c r="AA398" s="245"/>
    </row>
    <row r="399" spans="7:28" s="204" customFormat="1"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45"/>
      <c r="Y399" s="245"/>
      <c r="Z399" s="245"/>
      <c r="AA399" s="245"/>
    </row>
    <row r="400" spans="7:28" ht="15">
      <c r="P400" s="201"/>
      <c r="Q400" s="437" t="s">
        <v>373</v>
      </c>
      <c r="R400" s="437"/>
      <c r="S400" s="437"/>
      <c r="T400" s="437"/>
      <c r="U400" s="437"/>
      <c r="V400" s="437"/>
      <c r="W400" s="201"/>
    </row>
    <row r="401" spans="9:29" ht="15">
      <c r="I401" s="326"/>
      <c r="J401" s="327"/>
      <c r="K401" s="327"/>
      <c r="L401" s="327"/>
      <c r="M401" s="327"/>
      <c r="N401" s="327" t="s">
        <v>374</v>
      </c>
      <c r="O401" s="327" t="s">
        <v>375</v>
      </c>
      <c r="P401" s="327" t="s">
        <v>376</v>
      </c>
      <c r="Q401" s="327" t="s">
        <v>377</v>
      </c>
      <c r="R401" s="327" t="s">
        <v>378</v>
      </c>
      <c r="S401" s="327" t="s">
        <v>379</v>
      </c>
      <c r="T401" s="327" t="s">
        <v>403</v>
      </c>
      <c r="U401" s="327" t="s">
        <v>404</v>
      </c>
      <c r="V401" s="327" t="s">
        <v>413</v>
      </c>
      <c r="W401" s="327" t="s">
        <v>414</v>
      </c>
      <c r="X401" s="327" t="s">
        <v>428</v>
      </c>
      <c r="Y401" s="327" t="s">
        <v>429</v>
      </c>
      <c r="Z401" s="327" t="s">
        <v>520</v>
      </c>
      <c r="AA401" s="327" t="s">
        <v>521</v>
      </c>
      <c r="AB401" s="327" t="s">
        <v>522</v>
      </c>
      <c r="AC401" s="327" t="s">
        <v>523</v>
      </c>
    </row>
    <row r="402" spans="9:29">
      <c r="I402" s="326" t="s">
        <v>380</v>
      </c>
      <c r="J402" s="274"/>
      <c r="K402" s="274"/>
      <c r="L402" s="274"/>
      <c r="M402" s="190"/>
      <c r="N402" s="328">
        <v>8468</v>
      </c>
      <c r="O402" s="328">
        <v>10500.7</v>
      </c>
      <c r="P402" s="328">
        <v>10000</v>
      </c>
      <c r="Q402" s="328">
        <v>11949.5</v>
      </c>
      <c r="R402" s="328">
        <v>10000</v>
      </c>
      <c r="S402" s="328">
        <v>14165.7</v>
      </c>
      <c r="T402" s="323">
        <v>17514</v>
      </c>
      <c r="U402" s="323">
        <v>17923.034820000001</v>
      </c>
      <c r="V402" s="323">
        <v>30800</v>
      </c>
      <c r="W402" s="323">
        <v>37062</v>
      </c>
      <c r="X402" s="323">
        <v>55380</v>
      </c>
      <c r="Y402" s="323">
        <v>53968.2</v>
      </c>
      <c r="Z402" s="323"/>
      <c r="AA402" s="323"/>
      <c r="AB402" s="323"/>
      <c r="AC402" s="323"/>
    </row>
    <row r="403" spans="9:29">
      <c r="I403" s="326" t="s">
        <v>381</v>
      </c>
      <c r="J403" s="274"/>
      <c r="K403" s="274"/>
      <c r="L403" s="274"/>
      <c r="M403" s="190"/>
      <c r="N403" s="328"/>
      <c r="O403" s="328">
        <v>225.4</v>
      </c>
      <c r="P403" s="328"/>
      <c r="Q403" s="328">
        <v>158.5</v>
      </c>
      <c r="R403" s="328"/>
      <c r="S403" s="328">
        <v>358.4</v>
      </c>
      <c r="T403" s="323"/>
      <c r="U403" s="323">
        <v>864.36300000000006</v>
      </c>
      <c r="V403" s="323"/>
      <c r="W403" s="323">
        <v>450</v>
      </c>
      <c r="X403" s="323"/>
      <c r="Y403" s="323">
        <v>935.6</v>
      </c>
      <c r="Z403" s="323"/>
      <c r="AA403" s="323"/>
      <c r="AB403" s="323"/>
      <c r="AC403" s="323"/>
    </row>
    <row r="404" spans="9:29">
      <c r="I404" s="326" t="s">
        <v>382</v>
      </c>
      <c r="J404" s="274"/>
      <c r="K404" s="274"/>
      <c r="L404" s="274"/>
      <c r="M404" s="190"/>
      <c r="N404" s="328">
        <v>3132</v>
      </c>
      <c r="O404" s="328">
        <v>1717.3</v>
      </c>
      <c r="P404" s="328">
        <v>3400</v>
      </c>
      <c r="Q404" s="328">
        <v>2120.3000000000002</v>
      </c>
      <c r="R404" s="328">
        <v>3400</v>
      </c>
      <c r="S404" s="328">
        <v>2267.1</v>
      </c>
      <c r="T404" s="323">
        <v>3800</v>
      </c>
      <c r="U404" s="323">
        <v>5116.2725200000004</v>
      </c>
      <c r="V404" s="323">
        <v>3500</v>
      </c>
      <c r="W404" s="323">
        <v>3842.2</v>
      </c>
      <c r="X404" s="323">
        <v>0</v>
      </c>
      <c r="Y404" s="323">
        <v>8711.9</v>
      </c>
      <c r="Z404" s="323"/>
      <c r="AA404" s="323"/>
      <c r="AB404" s="323"/>
      <c r="AC404" s="323"/>
    </row>
    <row r="405" spans="9:29">
      <c r="I405" s="326" t="s">
        <v>383</v>
      </c>
      <c r="J405" s="274"/>
      <c r="K405" s="274"/>
      <c r="L405" s="274"/>
      <c r="M405" s="190"/>
      <c r="N405" s="328">
        <v>31627.180069999999</v>
      </c>
      <c r="O405" s="328">
        <v>31627.180069999999</v>
      </c>
      <c r="P405" s="328">
        <v>35178.976999999999</v>
      </c>
      <c r="Q405" s="328">
        <v>35178.976999999999</v>
      </c>
      <c r="R405" s="328">
        <v>55959.262000000002</v>
      </c>
      <c r="S405" s="328">
        <v>55959.262000000002</v>
      </c>
      <c r="T405" s="323">
        <v>16668.577539999998</v>
      </c>
      <c r="U405" s="323">
        <v>16668.577539999998</v>
      </c>
      <c r="V405" s="323">
        <v>37955.940630000005</v>
      </c>
      <c r="W405" s="323">
        <v>37955.940630000005</v>
      </c>
      <c r="X405" s="323">
        <v>39222.400000000001</v>
      </c>
      <c r="Y405" s="323">
        <v>39222.400000000001</v>
      </c>
      <c r="Z405" s="323"/>
      <c r="AA405" s="323"/>
      <c r="AB405" s="323"/>
      <c r="AC405" s="323"/>
    </row>
    <row r="406" spans="9:29">
      <c r="I406" s="326" t="s">
        <v>384</v>
      </c>
      <c r="J406" s="274"/>
      <c r="K406" s="274"/>
      <c r="L406" s="274"/>
      <c r="M406" s="190"/>
      <c r="N406" s="328">
        <v>88311.312999999995</v>
      </c>
      <c r="O406" s="328">
        <v>88311.312999999995</v>
      </c>
      <c r="P406" s="328">
        <v>95553.572</v>
      </c>
      <c r="Q406" s="328">
        <v>95553.572</v>
      </c>
      <c r="R406" s="328">
        <v>108579.151</v>
      </c>
      <c r="S406" s="328">
        <v>108579.151</v>
      </c>
      <c r="T406" s="323">
        <v>121495.18803</v>
      </c>
      <c r="U406" s="323">
        <v>121495.18803</v>
      </c>
      <c r="V406" s="323">
        <v>128805.3</v>
      </c>
      <c r="W406" s="323">
        <v>128805.3</v>
      </c>
      <c r="X406" s="323">
        <v>136270.5</v>
      </c>
      <c r="Y406" s="323">
        <v>136270.5</v>
      </c>
      <c r="Z406" s="323"/>
      <c r="AA406" s="323"/>
      <c r="AB406" s="323"/>
      <c r="AC406" s="323"/>
    </row>
    <row r="407" spans="9:29" ht="15">
      <c r="I407" s="327" t="s">
        <v>48</v>
      </c>
      <c r="J407" s="274"/>
      <c r="K407" s="274"/>
      <c r="L407" s="274"/>
      <c r="M407" s="190"/>
      <c r="N407" s="329">
        <f t="shared" ref="N407:Y407" si="48">SUM(N402:N406)</f>
        <v>131538.49307</v>
      </c>
      <c r="O407" s="329">
        <f t="shared" si="48"/>
        <v>132381.89306999999</v>
      </c>
      <c r="P407" s="329">
        <f t="shared" si="48"/>
        <v>144132.549</v>
      </c>
      <c r="Q407" s="329">
        <f t="shared" si="48"/>
        <v>144960.84899999999</v>
      </c>
      <c r="R407" s="329">
        <f t="shared" si="48"/>
        <v>177938.413</v>
      </c>
      <c r="S407" s="329">
        <f t="shared" si="48"/>
        <v>181329.61300000001</v>
      </c>
      <c r="T407" s="329">
        <f t="shared" si="48"/>
        <v>159477.76556999999</v>
      </c>
      <c r="U407" s="329">
        <f t="shared" si="48"/>
        <v>162067.43591</v>
      </c>
      <c r="V407" s="329">
        <f t="shared" si="48"/>
        <v>201061.24063000001</v>
      </c>
      <c r="W407" s="329">
        <f t="shared" si="48"/>
        <v>208115.44063000003</v>
      </c>
      <c r="X407" s="329">
        <f t="shared" si="48"/>
        <v>230872.9</v>
      </c>
      <c r="Y407" s="329">
        <f t="shared" si="48"/>
        <v>239108.6</v>
      </c>
      <c r="Z407" s="323"/>
      <c r="AA407" s="323"/>
      <c r="AB407" s="323"/>
      <c r="AC407" s="323"/>
    </row>
    <row r="408" spans="9:29">
      <c r="I408" s="326"/>
      <c r="J408" s="274"/>
      <c r="K408" s="274"/>
      <c r="L408" s="274"/>
      <c r="M408" s="190"/>
      <c r="N408" s="280"/>
      <c r="O408" s="280"/>
      <c r="P408" s="280"/>
      <c r="Q408" s="280"/>
      <c r="R408" s="280"/>
      <c r="S408" s="280"/>
      <c r="T408" s="323"/>
      <c r="U408" s="323"/>
      <c r="V408" s="190"/>
      <c r="W408" s="190"/>
      <c r="X408" s="190"/>
      <c r="Y408" s="190"/>
      <c r="Z408" s="323"/>
      <c r="AA408" s="323"/>
      <c r="AB408" s="323"/>
      <c r="AC408" s="323"/>
    </row>
    <row r="409" spans="9:29">
      <c r="I409" s="330" t="s">
        <v>385</v>
      </c>
      <c r="J409" s="274"/>
      <c r="K409" s="274"/>
      <c r="L409" s="274"/>
      <c r="M409" s="190"/>
      <c r="N409" s="331">
        <v>4026</v>
      </c>
      <c r="O409" s="331">
        <v>4026</v>
      </c>
      <c r="P409" s="331">
        <v>9302.6</v>
      </c>
      <c r="Q409" s="331">
        <v>9302.6</v>
      </c>
      <c r="R409" s="331">
        <v>6549.3</v>
      </c>
      <c r="S409" s="331">
        <v>6549.3</v>
      </c>
      <c r="T409" s="323">
        <v>8353.8475400000007</v>
      </c>
      <c r="U409" s="323">
        <v>8353.8475400000007</v>
      </c>
      <c r="V409" s="190">
        <v>8774.6887699999988</v>
      </c>
      <c r="W409" s="190">
        <v>8774.6887699999988</v>
      </c>
      <c r="X409" s="190"/>
      <c r="Y409" s="190"/>
      <c r="Z409" s="323"/>
      <c r="AA409" s="323"/>
      <c r="AB409" s="323"/>
      <c r="AC409" s="323"/>
    </row>
    <row r="410" spans="9:29">
      <c r="M410" s="201"/>
      <c r="N410" s="203"/>
      <c r="O410" s="203"/>
      <c r="T410" s="201"/>
      <c r="U410" s="201"/>
      <c r="V410" s="201"/>
      <c r="W410" s="201"/>
    </row>
    <row r="411" spans="9:29">
      <c r="M411" s="201"/>
      <c r="N411" s="203"/>
      <c r="O411" s="203"/>
      <c r="T411" s="201"/>
      <c r="U411" s="201"/>
      <c r="V411" s="201"/>
      <c r="W411" s="201"/>
    </row>
    <row r="412" spans="9:29" ht="15">
      <c r="I412" s="326"/>
      <c r="J412" s="274"/>
      <c r="K412" s="274"/>
      <c r="L412" s="274"/>
      <c r="M412" s="190"/>
      <c r="N412" s="438" t="s">
        <v>386</v>
      </c>
      <c r="O412" s="438"/>
      <c r="P412" s="438"/>
      <c r="Q412" s="438"/>
      <c r="R412" s="438"/>
      <c r="S412" s="438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</row>
    <row r="413" spans="9:29" ht="15">
      <c r="I413" s="326"/>
      <c r="J413" s="274"/>
      <c r="K413" s="274"/>
      <c r="L413" s="274"/>
      <c r="M413" s="190"/>
      <c r="N413" s="327" t="s">
        <v>374</v>
      </c>
      <c r="O413" s="327" t="s">
        <v>375</v>
      </c>
      <c r="P413" s="327" t="s">
        <v>376</v>
      </c>
      <c r="Q413" s="327" t="s">
        <v>377</v>
      </c>
      <c r="R413" s="327" t="s">
        <v>378</v>
      </c>
      <c r="S413" s="327" t="s">
        <v>379</v>
      </c>
      <c r="T413" s="327" t="s">
        <v>403</v>
      </c>
      <c r="U413" s="327" t="s">
        <v>404</v>
      </c>
      <c r="V413" s="327" t="s">
        <v>413</v>
      </c>
      <c r="W413" s="327" t="s">
        <v>414</v>
      </c>
      <c r="X413" s="327" t="s">
        <v>428</v>
      </c>
      <c r="Y413" s="327" t="s">
        <v>429</v>
      </c>
      <c r="Z413" s="327" t="s">
        <v>520</v>
      </c>
      <c r="AA413" s="327" t="s">
        <v>521</v>
      </c>
      <c r="AB413" s="327" t="s">
        <v>522</v>
      </c>
      <c r="AC413" s="327" t="s">
        <v>523</v>
      </c>
    </row>
    <row r="414" spans="9:29">
      <c r="I414" s="326" t="s">
        <v>380</v>
      </c>
      <c r="J414" s="274"/>
      <c r="K414" s="274"/>
      <c r="L414" s="274"/>
      <c r="M414" s="190"/>
      <c r="N414" s="328">
        <f>N402/N$616</f>
        <v>8.468</v>
      </c>
      <c r="O414" s="328">
        <f>O402/N$616</f>
        <v>10.5007</v>
      </c>
      <c r="P414" s="328">
        <f>P402/N$616</f>
        <v>10</v>
      </c>
      <c r="Q414" s="328">
        <f>Q402/N$616</f>
        <v>11.9495</v>
      </c>
      <c r="R414" s="328">
        <f>R402/N$616</f>
        <v>10</v>
      </c>
      <c r="S414" s="328">
        <f>S402/N$616</f>
        <v>14.165700000000001</v>
      </c>
      <c r="T414" s="332">
        <f>T402/N$616</f>
        <v>17.513999999999999</v>
      </c>
      <c r="U414" s="332">
        <f>U402/N$616</f>
        <v>17.923034820000002</v>
      </c>
      <c r="V414" s="332">
        <f>V402/N$616</f>
        <v>30.8</v>
      </c>
      <c r="W414" s="332">
        <f>W402/N$616</f>
        <v>37.061999999999998</v>
      </c>
      <c r="X414" s="332">
        <f t="shared" ref="X414:X419" si="49">X402/N$616</f>
        <v>55.38</v>
      </c>
      <c r="Y414" s="332">
        <f t="shared" ref="Y414:Y419" si="50">Y402/N$616</f>
        <v>53.968199999999996</v>
      </c>
      <c r="Z414" s="323"/>
      <c r="AA414" s="323"/>
      <c r="AB414" s="323"/>
      <c r="AC414" s="323"/>
    </row>
    <row r="415" spans="9:29">
      <c r="I415" s="326" t="s">
        <v>381</v>
      </c>
      <c r="J415" s="274"/>
      <c r="K415" s="274"/>
      <c r="L415" s="274"/>
      <c r="M415" s="190"/>
      <c r="N415" s="328">
        <f>N403/N$616</f>
        <v>0</v>
      </c>
      <c r="O415" s="328">
        <f>O403/N$616</f>
        <v>0.22540000000000002</v>
      </c>
      <c r="P415" s="328">
        <f>P403/N$616</f>
        <v>0</v>
      </c>
      <c r="Q415" s="328">
        <f>Q403/N$616</f>
        <v>0.1585</v>
      </c>
      <c r="R415" s="328">
        <f>R403/N$616</f>
        <v>0</v>
      </c>
      <c r="S415" s="328">
        <f>S403/N$616</f>
        <v>0.3584</v>
      </c>
      <c r="T415" s="332">
        <f>T403/N$616</f>
        <v>0</v>
      </c>
      <c r="U415" s="332">
        <f>U403/N$616</f>
        <v>0.8643630000000001</v>
      </c>
      <c r="V415" s="332">
        <f>V403/N$616</f>
        <v>0</v>
      </c>
      <c r="W415" s="332">
        <f>W403/N$616</f>
        <v>0.45</v>
      </c>
      <c r="X415" s="332">
        <f t="shared" si="49"/>
        <v>0</v>
      </c>
      <c r="Y415" s="332">
        <f t="shared" si="50"/>
        <v>0.93559999999999999</v>
      </c>
      <c r="Z415" s="323"/>
      <c r="AA415" s="323"/>
      <c r="AB415" s="323"/>
      <c r="AC415" s="323"/>
    </row>
    <row r="416" spans="9:29">
      <c r="I416" s="326" t="s">
        <v>382</v>
      </c>
      <c r="J416" s="274"/>
      <c r="K416" s="274"/>
      <c r="L416" s="274"/>
      <c r="M416" s="190"/>
      <c r="N416" s="328">
        <f>N404/N$616</f>
        <v>3.1320000000000001</v>
      </c>
      <c r="O416" s="328">
        <f>O404/N$616</f>
        <v>1.7173</v>
      </c>
      <c r="P416" s="328">
        <f>P404/N$616</f>
        <v>3.4</v>
      </c>
      <c r="Q416" s="328">
        <f>Q404/N$616</f>
        <v>2.1203000000000003</v>
      </c>
      <c r="R416" s="328">
        <f>R404/N$616</f>
        <v>3.4</v>
      </c>
      <c r="S416" s="328">
        <f>S404/N$616</f>
        <v>2.2671000000000001</v>
      </c>
      <c r="T416" s="332">
        <f>T404/N$616</f>
        <v>3.8</v>
      </c>
      <c r="U416" s="332">
        <f>U404/N$616</f>
        <v>5.1162725200000008</v>
      </c>
      <c r="V416" s="332">
        <f>V404/N$616</f>
        <v>3.5</v>
      </c>
      <c r="W416" s="332">
        <f>W404/N$616</f>
        <v>3.8421999999999996</v>
      </c>
      <c r="X416" s="332">
        <f t="shared" si="49"/>
        <v>0</v>
      </c>
      <c r="Y416" s="332">
        <f t="shared" si="50"/>
        <v>8.7119</v>
      </c>
      <c r="Z416" s="323"/>
      <c r="AA416" s="323"/>
      <c r="AB416" s="323"/>
      <c r="AC416" s="323"/>
    </row>
    <row r="417" spans="1:29">
      <c r="I417" s="326" t="s">
        <v>383</v>
      </c>
      <c r="J417" s="274"/>
      <c r="K417" s="274"/>
      <c r="L417" s="274"/>
      <c r="M417" s="190"/>
      <c r="N417" s="328">
        <f>N405/N$616</f>
        <v>31.627180069999998</v>
      </c>
      <c r="O417" s="328">
        <f>O405/N$616</f>
        <v>31.627180069999998</v>
      </c>
      <c r="P417" s="328">
        <f>P405/N$616</f>
        <v>35.178976999999996</v>
      </c>
      <c r="Q417" s="328">
        <f>Q405/N$616</f>
        <v>35.178976999999996</v>
      </c>
      <c r="R417" s="328">
        <f>R405/N$616</f>
        <v>55.959262000000003</v>
      </c>
      <c r="S417" s="328">
        <f>S405/N$616</f>
        <v>55.959262000000003</v>
      </c>
      <c r="T417" s="332">
        <f>T405/N$616</f>
        <v>16.668577539999998</v>
      </c>
      <c r="U417" s="332">
        <f>U405/N$616</f>
        <v>16.668577539999998</v>
      </c>
      <c r="V417" s="332">
        <f>V405/N$616</f>
        <v>37.955940630000008</v>
      </c>
      <c r="W417" s="332">
        <f>W405/N$616</f>
        <v>37.955940630000008</v>
      </c>
      <c r="X417" s="332">
        <f t="shared" si="49"/>
        <v>39.2224</v>
      </c>
      <c r="Y417" s="332">
        <f t="shared" si="50"/>
        <v>39.2224</v>
      </c>
      <c r="Z417" s="323"/>
      <c r="AA417" s="323"/>
      <c r="AB417" s="323"/>
      <c r="AC417" s="323"/>
    </row>
    <row r="418" spans="1:29">
      <c r="I418" s="326" t="s">
        <v>384</v>
      </c>
      <c r="J418" s="274"/>
      <c r="K418" s="274"/>
      <c r="L418" s="274"/>
      <c r="M418" s="190"/>
      <c r="N418" s="328">
        <f>N406/N$616</f>
        <v>88.311312999999998</v>
      </c>
      <c r="O418" s="328">
        <f>O406/N$616</f>
        <v>88.311312999999998</v>
      </c>
      <c r="P418" s="328">
        <f>P406/N$616</f>
        <v>95.553572000000003</v>
      </c>
      <c r="Q418" s="328">
        <f>Q406/N$616</f>
        <v>95.553572000000003</v>
      </c>
      <c r="R418" s="328">
        <f>R406/N$616</f>
        <v>108.579151</v>
      </c>
      <c r="S418" s="328">
        <f>S406/N$616</f>
        <v>108.579151</v>
      </c>
      <c r="T418" s="332">
        <f>T406/N$616</f>
        <v>121.49518803000001</v>
      </c>
      <c r="U418" s="332">
        <f>U406/N$616</f>
        <v>121.49518803000001</v>
      </c>
      <c r="V418" s="332">
        <f>V406/N$616</f>
        <v>128.80530000000002</v>
      </c>
      <c r="W418" s="332">
        <f>W406/N$616</f>
        <v>128.80530000000002</v>
      </c>
      <c r="X418" s="332">
        <f t="shared" si="49"/>
        <v>136.2705</v>
      </c>
      <c r="Y418" s="332">
        <f t="shared" si="50"/>
        <v>136.2705</v>
      </c>
      <c r="Z418" s="323"/>
      <c r="AA418" s="323"/>
      <c r="AB418" s="323"/>
      <c r="AC418" s="323"/>
    </row>
    <row r="419" spans="1:29" ht="15">
      <c r="I419" s="327" t="s">
        <v>48</v>
      </c>
      <c r="J419" s="274"/>
      <c r="K419" s="274"/>
      <c r="L419" s="274"/>
      <c r="M419" s="190"/>
      <c r="N419" s="329">
        <f t="shared" ref="N419:S419" si="51">SUM(N414:N418)</f>
        <v>131.53849306999999</v>
      </c>
      <c r="O419" s="329">
        <f t="shared" si="51"/>
        <v>132.38189306999999</v>
      </c>
      <c r="P419" s="329">
        <f t="shared" si="51"/>
        <v>144.13254899999998</v>
      </c>
      <c r="Q419" s="329">
        <f t="shared" si="51"/>
        <v>144.960849</v>
      </c>
      <c r="R419" s="329">
        <f t="shared" si="51"/>
        <v>177.938413</v>
      </c>
      <c r="S419" s="329">
        <f t="shared" si="51"/>
        <v>181.32961299999999</v>
      </c>
      <c r="T419" s="329">
        <f>SUM(T414:T418)</f>
        <v>159.47776557</v>
      </c>
      <c r="U419" s="329">
        <f>SUM(U414:U418)</f>
        <v>162.06743591000003</v>
      </c>
      <c r="V419" s="329">
        <f>SUM(V414:V418)</f>
        <v>201.06124063000001</v>
      </c>
      <c r="W419" s="329">
        <f>SUM(W414:W418)</f>
        <v>208.11544063000002</v>
      </c>
      <c r="X419" s="332">
        <f t="shared" si="49"/>
        <v>230.87289999999999</v>
      </c>
      <c r="Y419" s="332">
        <f t="shared" si="50"/>
        <v>239.1086</v>
      </c>
      <c r="Z419" s="323"/>
      <c r="AA419" s="323"/>
      <c r="AB419" s="323"/>
      <c r="AC419" s="323"/>
    </row>
    <row r="420" spans="1:29" s="204" customFormat="1">
      <c r="I420" s="208"/>
      <c r="J420" s="214"/>
      <c r="K420" s="214"/>
      <c r="L420" s="214"/>
      <c r="N420" s="207"/>
      <c r="O420" s="207"/>
      <c r="P420" s="207"/>
      <c r="Q420" s="207"/>
      <c r="R420" s="207"/>
      <c r="S420" s="207"/>
    </row>
    <row r="421" spans="1:29">
      <c r="I421" s="333"/>
      <c r="M421" s="201"/>
      <c r="N421" s="334"/>
      <c r="O421" s="334"/>
      <c r="P421" s="334"/>
      <c r="Q421" s="334"/>
      <c r="R421" s="334"/>
      <c r="S421" s="334"/>
      <c r="T421" s="201"/>
      <c r="U421" s="201"/>
      <c r="V421" s="201"/>
      <c r="W421" s="201"/>
    </row>
    <row r="422" spans="1:29" ht="15">
      <c r="I422" s="190"/>
      <c r="J422" s="274"/>
      <c r="K422" s="274"/>
      <c r="L422" s="274"/>
      <c r="M422" s="274"/>
      <c r="N422" s="276" t="s">
        <v>374</v>
      </c>
      <c r="O422" s="276" t="s">
        <v>375</v>
      </c>
      <c r="P422" s="276" t="s">
        <v>376</v>
      </c>
      <c r="Q422" s="276" t="s">
        <v>377</v>
      </c>
      <c r="R422" s="276" t="s">
        <v>378</v>
      </c>
      <c r="S422" s="276" t="s">
        <v>379</v>
      </c>
      <c r="T422" s="276" t="s">
        <v>403</v>
      </c>
      <c r="U422" s="276" t="s">
        <v>404</v>
      </c>
      <c r="V422" s="327" t="s">
        <v>413</v>
      </c>
      <c r="W422" s="327" t="s">
        <v>414</v>
      </c>
      <c r="X422" s="327" t="s">
        <v>428</v>
      </c>
      <c r="Y422" s="327" t="s">
        <v>429</v>
      </c>
      <c r="Z422" s="327" t="s">
        <v>520</v>
      </c>
      <c r="AA422" s="327" t="s">
        <v>521</v>
      </c>
      <c r="AB422" s="327" t="s">
        <v>522</v>
      </c>
      <c r="AC422" s="327" t="s">
        <v>523</v>
      </c>
    </row>
    <row r="423" spans="1:29">
      <c r="I423" s="190" t="s">
        <v>426</v>
      </c>
      <c r="J423" s="274"/>
      <c r="K423" s="274"/>
      <c r="L423" s="274"/>
      <c r="M423" s="260"/>
      <c r="N423" s="305">
        <f t="shared" ref="N423:U423" si="52">N414+N415+N416</f>
        <v>11.6</v>
      </c>
      <c r="O423" s="305">
        <f t="shared" si="52"/>
        <v>12.4434</v>
      </c>
      <c r="P423" s="305">
        <f t="shared" si="52"/>
        <v>13.4</v>
      </c>
      <c r="Q423" s="305">
        <f t="shared" si="52"/>
        <v>14.228300000000001</v>
      </c>
      <c r="R423" s="305">
        <f t="shared" si="52"/>
        <v>13.4</v>
      </c>
      <c r="S423" s="305">
        <f t="shared" si="52"/>
        <v>16.7912</v>
      </c>
      <c r="T423" s="305">
        <f t="shared" si="52"/>
        <v>21.314</v>
      </c>
      <c r="U423" s="305">
        <f t="shared" si="52"/>
        <v>23.903670340000005</v>
      </c>
      <c r="V423" s="305">
        <f>V414+V415+V416</f>
        <v>34.299999999999997</v>
      </c>
      <c r="W423" s="305">
        <f>W414+W415+W416</f>
        <v>41.354199999999999</v>
      </c>
      <c r="X423" s="305">
        <f>X414+X415+X416</f>
        <v>55.38</v>
      </c>
      <c r="Y423" s="305">
        <f>Y414+Y415+Y416</f>
        <v>63.615699999999997</v>
      </c>
      <c r="Z423" s="323"/>
      <c r="AA423" s="323"/>
      <c r="AB423" s="323"/>
      <c r="AC423" s="323"/>
    </row>
    <row r="424" spans="1:29">
      <c r="I424" s="190" t="s">
        <v>227</v>
      </c>
      <c r="J424" s="274"/>
      <c r="K424" s="274"/>
      <c r="L424" s="274"/>
      <c r="M424" s="260"/>
      <c r="N424" s="305">
        <f t="shared" ref="N424:S425" si="53">N417</f>
        <v>31.627180069999998</v>
      </c>
      <c r="O424" s="305">
        <f t="shared" si="53"/>
        <v>31.627180069999998</v>
      </c>
      <c r="P424" s="305">
        <f t="shared" si="53"/>
        <v>35.178976999999996</v>
      </c>
      <c r="Q424" s="305">
        <f t="shared" si="53"/>
        <v>35.178976999999996</v>
      </c>
      <c r="R424" s="305">
        <f t="shared" si="53"/>
        <v>55.959262000000003</v>
      </c>
      <c r="S424" s="305">
        <f t="shared" si="53"/>
        <v>55.959262000000003</v>
      </c>
      <c r="T424" s="305">
        <f t="shared" ref="T424:Y425" si="54">T417</f>
        <v>16.668577539999998</v>
      </c>
      <c r="U424" s="305">
        <f t="shared" si="54"/>
        <v>16.668577539999998</v>
      </c>
      <c r="V424" s="305">
        <f t="shared" si="54"/>
        <v>37.955940630000008</v>
      </c>
      <c r="W424" s="305">
        <f t="shared" si="54"/>
        <v>37.955940630000008</v>
      </c>
      <c r="X424" s="305">
        <f t="shared" si="54"/>
        <v>39.2224</v>
      </c>
      <c r="Y424" s="305">
        <f t="shared" si="54"/>
        <v>39.2224</v>
      </c>
      <c r="Z424" s="323"/>
      <c r="AA424" s="323"/>
      <c r="AB424" s="323"/>
      <c r="AC424" s="323"/>
    </row>
    <row r="425" spans="1:29">
      <c r="I425" s="190" t="s">
        <v>19</v>
      </c>
      <c r="J425" s="274"/>
      <c r="K425" s="274"/>
      <c r="L425" s="274"/>
      <c r="M425" s="260"/>
      <c r="N425" s="305">
        <f t="shared" si="53"/>
        <v>88.311312999999998</v>
      </c>
      <c r="O425" s="305">
        <f t="shared" si="53"/>
        <v>88.311312999999998</v>
      </c>
      <c r="P425" s="305">
        <f t="shared" si="53"/>
        <v>95.553572000000003</v>
      </c>
      <c r="Q425" s="305">
        <f t="shared" si="53"/>
        <v>95.553572000000003</v>
      </c>
      <c r="R425" s="305">
        <f t="shared" si="53"/>
        <v>108.579151</v>
      </c>
      <c r="S425" s="305">
        <f t="shared" si="53"/>
        <v>108.579151</v>
      </c>
      <c r="T425" s="305">
        <f t="shared" si="54"/>
        <v>121.49518803000001</v>
      </c>
      <c r="U425" s="305">
        <f t="shared" si="54"/>
        <v>121.49518803000001</v>
      </c>
      <c r="V425" s="305">
        <f t="shared" si="54"/>
        <v>128.80530000000002</v>
      </c>
      <c r="W425" s="305">
        <f t="shared" si="54"/>
        <v>128.80530000000002</v>
      </c>
      <c r="X425" s="305">
        <f t="shared" si="54"/>
        <v>136.2705</v>
      </c>
      <c r="Y425" s="305">
        <f t="shared" si="54"/>
        <v>136.2705</v>
      </c>
      <c r="Z425" s="323"/>
      <c r="AA425" s="323"/>
      <c r="AB425" s="323"/>
      <c r="AC425" s="323"/>
    </row>
    <row r="426" spans="1:29" ht="15">
      <c r="I426" s="190" t="s">
        <v>48</v>
      </c>
      <c r="J426" s="274"/>
      <c r="K426" s="274"/>
      <c r="L426" s="274"/>
      <c r="M426" s="260"/>
      <c r="N426" s="335">
        <f t="shared" ref="N426:S426" si="55">SUM(N423:N425)</f>
        <v>131.53849306999999</v>
      </c>
      <c r="O426" s="335">
        <f t="shared" si="55"/>
        <v>132.38189306999999</v>
      </c>
      <c r="P426" s="335">
        <f t="shared" si="55"/>
        <v>144.13254899999998</v>
      </c>
      <c r="Q426" s="335">
        <f t="shared" si="55"/>
        <v>144.960849</v>
      </c>
      <c r="R426" s="335">
        <f t="shared" si="55"/>
        <v>177.938413</v>
      </c>
      <c r="S426" s="335">
        <f t="shared" si="55"/>
        <v>181.32961299999999</v>
      </c>
      <c r="T426" s="335">
        <f t="shared" ref="T426:Y426" si="56">SUM(T423:T425)</f>
        <v>159.47776557</v>
      </c>
      <c r="U426" s="335">
        <f t="shared" si="56"/>
        <v>162.06743591000003</v>
      </c>
      <c r="V426" s="335">
        <f t="shared" si="56"/>
        <v>201.06124063000001</v>
      </c>
      <c r="W426" s="335">
        <f t="shared" si="56"/>
        <v>208.11544063000002</v>
      </c>
      <c r="X426" s="335">
        <f t="shared" si="56"/>
        <v>230.87290000000002</v>
      </c>
      <c r="Y426" s="335">
        <f t="shared" si="56"/>
        <v>239.1086</v>
      </c>
      <c r="Z426" s="323"/>
      <c r="AA426" s="323"/>
      <c r="AB426" s="323"/>
      <c r="AC426" s="323"/>
    </row>
    <row r="427" spans="1:29">
      <c r="M427" s="203"/>
      <c r="P427" s="202"/>
      <c r="Q427" s="202"/>
      <c r="R427" s="202"/>
      <c r="S427" s="202"/>
      <c r="V427" s="201"/>
      <c r="W427" s="201"/>
    </row>
    <row r="428" spans="1:29" ht="15">
      <c r="I428" s="191" t="s">
        <v>408</v>
      </c>
      <c r="J428" s="274"/>
      <c r="K428" s="274"/>
      <c r="L428" s="274"/>
      <c r="M428" s="260"/>
      <c r="N428" s="274"/>
      <c r="O428" s="274"/>
      <c r="P428" s="274"/>
      <c r="Q428" s="274"/>
      <c r="R428" s="274">
        <v>1000</v>
      </c>
      <c r="S428" s="274"/>
      <c r="T428" s="260"/>
      <c r="U428" s="274"/>
      <c r="V428" s="190"/>
      <c r="W428" s="190"/>
      <c r="X428" s="190"/>
      <c r="Y428" s="190"/>
      <c r="Z428" s="190"/>
      <c r="AA428" s="190"/>
      <c r="AB428" s="190"/>
      <c r="AC428" s="190"/>
    </row>
    <row r="429" spans="1:29" ht="30">
      <c r="I429" s="336" t="s">
        <v>387</v>
      </c>
      <c r="J429" s="336" t="s">
        <v>396</v>
      </c>
      <c r="K429" s="336" t="s">
        <v>397</v>
      </c>
      <c r="L429" s="336" t="s">
        <v>398</v>
      </c>
      <c r="M429" s="336" t="s">
        <v>399</v>
      </c>
      <c r="N429" s="336" t="s">
        <v>388</v>
      </c>
      <c r="O429" s="336" t="s">
        <v>389</v>
      </c>
      <c r="P429" s="336" t="s">
        <v>390</v>
      </c>
      <c r="Q429" s="336" t="s">
        <v>391</v>
      </c>
      <c r="R429" s="336" t="s">
        <v>392</v>
      </c>
      <c r="S429" s="336" t="s">
        <v>393</v>
      </c>
      <c r="T429" s="336" t="s">
        <v>405</v>
      </c>
      <c r="U429" s="336" t="s">
        <v>406</v>
      </c>
      <c r="V429" s="336" t="s">
        <v>424</v>
      </c>
      <c r="W429" s="336" t="s">
        <v>416</v>
      </c>
      <c r="X429" s="336" t="s">
        <v>430</v>
      </c>
      <c r="Y429" s="336" t="s">
        <v>431</v>
      </c>
      <c r="Z429" s="337" t="s">
        <v>520</v>
      </c>
      <c r="AA429" s="337" t="s">
        <v>521</v>
      </c>
      <c r="AB429" s="337" t="s">
        <v>522</v>
      </c>
      <c r="AC429" s="337" t="s">
        <v>523</v>
      </c>
    </row>
    <row r="430" spans="1:29">
      <c r="A430" s="201" t="s">
        <v>367</v>
      </c>
      <c r="I430" s="189" t="s">
        <v>49</v>
      </c>
      <c r="J430" s="190">
        <v>61895.1</v>
      </c>
      <c r="K430" s="190">
        <v>59602.553000000007</v>
      </c>
      <c r="L430" s="190">
        <v>65797.2</v>
      </c>
      <c r="M430" s="190">
        <v>65560.3</v>
      </c>
      <c r="N430" s="338">
        <v>70925.600000000006</v>
      </c>
      <c r="O430" s="338">
        <v>67490.600000000006</v>
      </c>
      <c r="P430" s="339">
        <v>78111.5</v>
      </c>
      <c r="Q430" s="339">
        <v>73812.899999999994</v>
      </c>
      <c r="R430" s="340">
        <v>80099</v>
      </c>
      <c r="S430" s="340">
        <v>75511</v>
      </c>
      <c r="T430" s="340">
        <v>93765.108999999997</v>
      </c>
      <c r="U430" s="340">
        <v>87014.648019999993</v>
      </c>
      <c r="V430" s="340">
        <v>93296.654999999999</v>
      </c>
      <c r="W430" s="340">
        <v>93757.604189999998</v>
      </c>
      <c r="X430" s="340">
        <v>99498.043000000005</v>
      </c>
      <c r="Y430" s="340">
        <v>99285.917220000003</v>
      </c>
      <c r="Z430" s="323"/>
      <c r="AA430" s="323"/>
      <c r="AB430" s="323"/>
      <c r="AC430" s="323"/>
    </row>
    <row r="431" spans="1:29">
      <c r="A431" s="201" t="s">
        <v>368</v>
      </c>
      <c r="I431" s="190" t="s">
        <v>50</v>
      </c>
      <c r="J431" s="190">
        <v>5155.8</v>
      </c>
      <c r="K431" s="190">
        <v>4761.9470000000001</v>
      </c>
      <c r="L431" s="190">
        <v>4972.8999999999996</v>
      </c>
      <c r="M431" s="190">
        <v>4670</v>
      </c>
      <c r="N431" s="338">
        <v>5926</v>
      </c>
      <c r="O431" s="338">
        <v>4209.3999999999996</v>
      </c>
      <c r="P431" s="339">
        <v>6499.1</v>
      </c>
      <c r="Q431" s="339">
        <v>5361.8</v>
      </c>
      <c r="R431" s="340">
        <v>6999</v>
      </c>
      <c r="S431" s="340">
        <v>6247</v>
      </c>
      <c r="T431" s="340">
        <v>7748.0219999999999</v>
      </c>
      <c r="U431" s="340">
        <v>8643.5546999999988</v>
      </c>
      <c r="V431" s="340">
        <v>6748.0219999999999</v>
      </c>
      <c r="W431" s="340">
        <v>7261.4248200000002</v>
      </c>
      <c r="X431" s="340">
        <v>9432.9060000000009</v>
      </c>
      <c r="Y431" s="340">
        <v>11037.76117</v>
      </c>
      <c r="Z431" s="323"/>
      <c r="AA431" s="323"/>
      <c r="AB431" s="323"/>
      <c r="AC431" s="323"/>
    </row>
    <row r="432" spans="1:29">
      <c r="A432" s="201" t="s">
        <v>369</v>
      </c>
      <c r="I432" s="190" t="s">
        <v>51</v>
      </c>
      <c r="J432" s="190">
        <v>14740.8</v>
      </c>
      <c r="K432" s="190">
        <v>14049.023999999999</v>
      </c>
      <c r="L432" s="190">
        <v>15956.4</v>
      </c>
      <c r="M432" s="190">
        <v>15077.8</v>
      </c>
      <c r="N432" s="338">
        <v>18734.400000000001</v>
      </c>
      <c r="O432" s="338">
        <v>17424.599999999999</v>
      </c>
      <c r="P432" s="339">
        <v>18634.400000000001</v>
      </c>
      <c r="Q432" s="339">
        <v>17140.900000000001</v>
      </c>
      <c r="R432" s="340">
        <v>20939</v>
      </c>
      <c r="S432" s="340">
        <v>20651</v>
      </c>
      <c r="T432" s="340">
        <v>19762.021000000001</v>
      </c>
      <c r="U432" s="340">
        <v>28677.140500000001</v>
      </c>
      <c r="V432" s="340">
        <v>27084.314999999999</v>
      </c>
      <c r="W432" s="340">
        <v>36044.077420000001</v>
      </c>
      <c r="X432" s="340">
        <v>28951.544999999998</v>
      </c>
      <c r="Y432" s="340">
        <v>29188.256969999999</v>
      </c>
      <c r="Z432" s="323"/>
      <c r="AA432" s="323"/>
      <c r="AB432" s="323"/>
      <c r="AC432" s="323"/>
    </row>
    <row r="433" spans="1:29">
      <c r="A433" s="201" t="s">
        <v>370</v>
      </c>
      <c r="I433" s="190" t="s">
        <v>52</v>
      </c>
      <c r="J433" s="190">
        <v>1478.3</v>
      </c>
      <c r="K433" s="190">
        <v>5601.3</v>
      </c>
      <c r="L433" s="190">
        <v>1475.3</v>
      </c>
      <c r="M433" s="190">
        <v>5428.3</v>
      </c>
      <c r="N433" s="338">
        <v>2475.3000000000002</v>
      </c>
      <c r="O433" s="338">
        <v>10651.1</v>
      </c>
      <c r="P433" s="339">
        <v>2975.3</v>
      </c>
      <c r="Q433" s="339">
        <v>6253.3</v>
      </c>
      <c r="R433" s="340">
        <v>3325</v>
      </c>
      <c r="S433" s="340">
        <v>11062</v>
      </c>
      <c r="T433" s="340">
        <v>3975.3</v>
      </c>
      <c r="U433" s="340">
        <v>10668.10132</v>
      </c>
      <c r="V433" s="340">
        <v>7105.0529999999999</v>
      </c>
      <c r="W433" s="340">
        <v>19420.92841</v>
      </c>
      <c r="X433" s="340">
        <v>5355.3</v>
      </c>
      <c r="Y433" s="340">
        <v>8328.0939999999991</v>
      </c>
      <c r="Z433" s="323"/>
      <c r="AA433" s="323"/>
      <c r="AB433" s="323"/>
      <c r="AC433" s="323"/>
    </row>
    <row r="434" spans="1:29">
      <c r="A434" s="201" t="s">
        <v>371</v>
      </c>
      <c r="I434" s="190" t="s">
        <v>53</v>
      </c>
      <c r="J434" s="190">
        <v>5240.6000000000004</v>
      </c>
      <c r="K434" s="190">
        <v>5191.2</v>
      </c>
      <c r="L434" s="190">
        <v>1600</v>
      </c>
      <c r="M434" s="190">
        <v>1600</v>
      </c>
      <c r="N434" s="338">
        <v>1350</v>
      </c>
      <c r="O434" s="339">
        <v>800.2</v>
      </c>
      <c r="P434" s="339">
        <v>2733.3</v>
      </c>
      <c r="Q434" s="339">
        <v>1574.9</v>
      </c>
      <c r="R434" s="340">
        <v>10220</v>
      </c>
      <c r="S434" s="340">
        <v>8943</v>
      </c>
      <c r="T434" s="340">
        <v>4000</v>
      </c>
      <c r="U434" s="340">
        <v>3276.07447</v>
      </c>
      <c r="V434" s="340">
        <v>0</v>
      </c>
      <c r="W434" s="340">
        <v>5270.1361699999998</v>
      </c>
      <c r="X434" s="340">
        <v>3000</v>
      </c>
      <c r="Y434" s="340">
        <v>9180.70831</v>
      </c>
      <c r="Z434" s="340"/>
      <c r="AA434" s="340"/>
      <c r="AB434" s="340"/>
      <c r="AC434" s="340"/>
    </row>
    <row r="435" spans="1:29">
      <c r="A435" s="201" t="s">
        <v>372</v>
      </c>
      <c r="I435" s="190" t="s">
        <v>54</v>
      </c>
      <c r="J435" s="190">
        <v>5200</v>
      </c>
      <c r="K435" s="190">
        <v>4500</v>
      </c>
      <c r="L435" s="190">
        <v>3000</v>
      </c>
      <c r="M435" s="190">
        <v>500</v>
      </c>
      <c r="N435" s="339">
        <v>500</v>
      </c>
      <c r="O435" s="339">
        <v>496.6</v>
      </c>
      <c r="P435" s="326"/>
      <c r="Q435" s="326"/>
      <c r="R435" s="340">
        <v>3846</v>
      </c>
      <c r="S435" s="340">
        <v>2846</v>
      </c>
      <c r="T435" s="340">
        <v>1314</v>
      </c>
      <c r="U435" s="340">
        <v>146.625</v>
      </c>
      <c r="V435" s="340">
        <v>0</v>
      </c>
      <c r="W435" s="340">
        <v>3000</v>
      </c>
      <c r="X435" s="340">
        <v>500</v>
      </c>
      <c r="Y435" s="340">
        <v>384.38484999999997</v>
      </c>
      <c r="Z435" s="340"/>
      <c r="AA435" s="340"/>
      <c r="AB435" s="340"/>
      <c r="AC435" s="340"/>
    </row>
    <row r="436" spans="1:29">
      <c r="A436" s="201" t="s">
        <v>433</v>
      </c>
      <c r="I436" s="190" t="s">
        <v>434</v>
      </c>
      <c r="J436" s="190"/>
      <c r="K436" s="190"/>
      <c r="L436" s="190"/>
      <c r="M436" s="190"/>
      <c r="N436" s="339"/>
      <c r="O436" s="339"/>
      <c r="P436" s="326"/>
      <c r="Q436" s="326"/>
      <c r="R436" s="340">
        <v>0</v>
      </c>
      <c r="S436" s="340">
        <v>0</v>
      </c>
      <c r="T436" s="340">
        <v>0</v>
      </c>
      <c r="U436" s="340">
        <v>0</v>
      </c>
      <c r="V436" s="340">
        <v>0</v>
      </c>
      <c r="W436" s="340">
        <v>0</v>
      </c>
      <c r="X436" s="340">
        <v>0</v>
      </c>
      <c r="Y436" s="340">
        <v>42481.037270000001</v>
      </c>
      <c r="Z436" s="340"/>
      <c r="AA436" s="340"/>
      <c r="AB436" s="340"/>
      <c r="AC436" s="340"/>
    </row>
    <row r="437" spans="1:29" ht="15">
      <c r="I437" s="341" t="s">
        <v>21</v>
      </c>
      <c r="J437" s="342">
        <f t="shared" ref="J437:Q437" si="57">SUM(J430:J435)</f>
        <v>93710.6</v>
      </c>
      <c r="K437" s="342">
        <f t="shared" si="57"/>
        <v>93706.024000000005</v>
      </c>
      <c r="L437" s="342">
        <f t="shared" si="57"/>
        <v>92801.799999999988</v>
      </c>
      <c r="M437" s="342">
        <f t="shared" si="57"/>
        <v>92836.400000000009</v>
      </c>
      <c r="N437" s="342">
        <f t="shared" si="57"/>
        <v>99911.3</v>
      </c>
      <c r="O437" s="342">
        <f t="shared" si="57"/>
        <v>101072.50000000001</v>
      </c>
      <c r="P437" s="342">
        <f t="shared" si="57"/>
        <v>108953.60000000001</v>
      </c>
      <c r="Q437" s="342">
        <f t="shared" si="57"/>
        <v>104143.8</v>
      </c>
      <c r="R437" s="342">
        <f t="shared" ref="R437:Y437" si="58">SUM(R430:R436)</f>
        <v>125428</v>
      </c>
      <c r="S437" s="342">
        <f t="shared" si="58"/>
        <v>125260</v>
      </c>
      <c r="T437" s="342">
        <f t="shared" si="58"/>
        <v>130564.452</v>
      </c>
      <c r="U437" s="342">
        <f t="shared" si="58"/>
        <v>138426.14400999996</v>
      </c>
      <c r="V437" s="342">
        <f t="shared" si="58"/>
        <v>134234.04499999998</v>
      </c>
      <c r="W437" s="342">
        <f t="shared" si="58"/>
        <v>164754.17100999999</v>
      </c>
      <c r="X437" s="342">
        <f t="shared" si="58"/>
        <v>146737.79399999999</v>
      </c>
      <c r="Y437" s="342">
        <f t="shared" si="58"/>
        <v>199886.15979000001</v>
      </c>
      <c r="Z437" s="342"/>
      <c r="AA437" s="342"/>
      <c r="AB437" s="342"/>
      <c r="AC437" s="342"/>
    </row>
    <row r="438" spans="1:29">
      <c r="I438" s="343"/>
      <c r="M438" s="203"/>
      <c r="N438" s="344"/>
      <c r="O438" s="344"/>
      <c r="P438" s="344"/>
      <c r="Q438" s="344"/>
      <c r="R438" s="344"/>
      <c r="S438" s="344"/>
      <c r="T438" s="202"/>
      <c r="U438" s="201"/>
      <c r="V438" s="201"/>
      <c r="W438" s="201"/>
    </row>
    <row r="439" spans="1:29">
      <c r="I439" s="343"/>
      <c r="M439" s="203"/>
      <c r="N439" s="344"/>
      <c r="O439" s="344"/>
      <c r="P439" s="344"/>
      <c r="Q439" s="344"/>
      <c r="R439" s="344"/>
      <c r="S439" s="344"/>
      <c r="T439" s="202"/>
      <c r="U439" s="201"/>
      <c r="V439" s="201"/>
      <c r="W439" s="201"/>
    </row>
    <row r="440" spans="1:29" ht="30">
      <c r="I440" s="191" t="s">
        <v>409</v>
      </c>
      <c r="J440" s="336" t="s">
        <v>396</v>
      </c>
      <c r="K440" s="336" t="s">
        <v>397</v>
      </c>
      <c r="L440" s="336" t="s">
        <v>398</v>
      </c>
      <c r="M440" s="336" t="s">
        <v>399</v>
      </c>
      <c r="N440" s="336" t="s">
        <v>388</v>
      </c>
      <c r="O440" s="336" t="s">
        <v>389</v>
      </c>
      <c r="P440" s="336" t="s">
        <v>390</v>
      </c>
      <c r="Q440" s="336" t="s">
        <v>391</v>
      </c>
      <c r="R440" s="336" t="s">
        <v>392</v>
      </c>
      <c r="S440" s="336" t="s">
        <v>393</v>
      </c>
      <c r="T440" s="336" t="s">
        <v>405</v>
      </c>
      <c r="U440" s="336" t="s">
        <v>406</v>
      </c>
      <c r="V440" s="336" t="s">
        <v>425</v>
      </c>
      <c r="W440" s="336" t="s">
        <v>416</v>
      </c>
      <c r="X440" s="336" t="s">
        <v>432</v>
      </c>
      <c r="Y440" s="336" t="s">
        <v>431</v>
      </c>
      <c r="Z440" s="336" t="s">
        <v>524</v>
      </c>
      <c r="AA440" s="336" t="s">
        <v>525</v>
      </c>
      <c r="AB440" s="336" t="s">
        <v>526</v>
      </c>
      <c r="AC440" s="336" t="s">
        <v>527</v>
      </c>
    </row>
    <row r="441" spans="1:29">
      <c r="I441" s="190" t="s">
        <v>54</v>
      </c>
      <c r="J441" s="345">
        <f>J435/R$428</f>
        <v>5.2</v>
      </c>
      <c r="K441" s="345">
        <f>K435/R$428</f>
        <v>4.5</v>
      </c>
      <c r="L441" s="345">
        <f>L435/R$428</f>
        <v>3</v>
      </c>
      <c r="M441" s="345">
        <f>M435/R$428</f>
        <v>0.5</v>
      </c>
      <c r="N441" s="345">
        <f>N435/R$428</f>
        <v>0.5</v>
      </c>
      <c r="O441" s="345">
        <f>O435/R$428</f>
        <v>0.49660000000000004</v>
      </c>
      <c r="P441" s="345">
        <f>P435/R$428</f>
        <v>0</v>
      </c>
      <c r="Q441" s="345">
        <f>Q435/R$428</f>
        <v>0</v>
      </c>
      <c r="R441" s="345">
        <f>R435/R$428</f>
        <v>3.8460000000000001</v>
      </c>
      <c r="S441" s="345">
        <f>S435/R$428</f>
        <v>2.8460000000000001</v>
      </c>
      <c r="T441" s="345">
        <f>T435/R$428</f>
        <v>1.3140000000000001</v>
      </c>
      <c r="U441" s="345">
        <f>U435/R$428</f>
        <v>0.14662500000000001</v>
      </c>
      <c r="V441" s="345">
        <f>V435/R$428</f>
        <v>0</v>
      </c>
      <c r="W441" s="345">
        <f>W435/R$428</f>
        <v>3</v>
      </c>
      <c r="X441" s="345">
        <f>X435/$R$428</f>
        <v>0.5</v>
      </c>
      <c r="Y441" s="345">
        <f>Y435/$R$428</f>
        <v>0.38438484999999994</v>
      </c>
      <c r="Z441" s="345"/>
      <c r="AA441" s="345"/>
      <c r="AB441" s="345"/>
      <c r="AC441" s="345"/>
    </row>
    <row r="442" spans="1:29">
      <c r="I442" s="190" t="s">
        <v>52</v>
      </c>
      <c r="J442" s="345">
        <f>J433/R$428</f>
        <v>1.4782999999999999</v>
      </c>
      <c r="K442" s="345">
        <f>K433/R$428</f>
        <v>5.6013000000000002</v>
      </c>
      <c r="L442" s="345">
        <f>L433/R$428</f>
        <v>1.4753000000000001</v>
      </c>
      <c r="M442" s="345">
        <f>M433/R$428</f>
        <v>5.4283000000000001</v>
      </c>
      <c r="N442" s="345">
        <f>N433/R$428</f>
        <v>2.4753000000000003</v>
      </c>
      <c r="O442" s="345">
        <f>O433/R$428</f>
        <v>10.6511</v>
      </c>
      <c r="P442" s="345">
        <f>P433/R$428</f>
        <v>2.9753000000000003</v>
      </c>
      <c r="Q442" s="345">
        <f>Q433/R$428</f>
        <v>6.2533000000000003</v>
      </c>
      <c r="R442" s="345">
        <f>R433/R$428</f>
        <v>3.3250000000000002</v>
      </c>
      <c r="S442" s="345">
        <f>S433/R$428</f>
        <v>11.061999999999999</v>
      </c>
      <c r="T442" s="345">
        <f>T433/R$428</f>
        <v>3.9753000000000003</v>
      </c>
      <c r="U442" s="345">
        <f>U433/R$428</f>
        <v>10.66810132</v>
      </c>
      <c r="V442" s="345">
        <f>V433/R$428</f>
        <v>7.1050529999999998</v>
      </c>
      <c r="W442" s="345">
        <f>W433/R$428</f>
        <v>19.420928410000002</v>
      </c>
      <c r="X442" s="345">
        <f>X433/$R$428</f>
        <v>5.3553000000000006</v>
      </c>
      <c r="Y442" s="345">
        <f>Y433/$R$428</f>
        <v>8.3280939999999983</v>
      </c>
      <c r="Z442" s="345"/>
      <c r="AA442" s="345"/>
      <c r="AB442" s="345"/>
      <c r="AC442" s="345"/>
    </row>
    <row r="443" spans="1:29">
      <c r="I443" s="190" t="s">
        <v>53</v>
      </c>
      <c r="J443" s="345">
        <f>J434/R$428</f>
        <v>5.2406000000000006</v>
      </c>
      <c r="K443" s="345">
        <f>K434/R$428</f>
        <v>5.1912000000000003</v>
      </c>
      <c r="L443" s="345">
        <f>L434/R$428</f>
        <v>1.6</v>
      </c>
      <c r="M443" s="345">
        <f>M434/R$428</f>
        <v>1.6</v>
      </c>
      <c r="N443" s="345">
        <f>N434/R$428</f>
        <v>1.35</v>
      </c>
      <c r="O443" s="345">
        <f>O434/R$428</f>
        <v>0.80020000000000002</v>
      </c>
      <c r="P443" s="345">
        <f>P434/R$428</f>
        <v>2.7333000000000003</v>
      </c>
      <c r="Q443" s="345">
        <f>Q434/R$428</f>
        <v>1.5749000000000002</v>
      </c>
      <c r="R443" s="345">
        <f>R434/R$428</f>
        <v>10.220000000000001</v>
      </c>
      <c r="S443" s="345">
        <f>S434/R$428</f>
        <v>8.9429999999999996</v>
      </c>
      <c r="T443" s="345">
        <f>T434/R$428</f>
        <v>4</v>
      </c>
      <c r="U443" s="345">
        <f>U434/R$428</f>
        <v>3.2760744700000002</v>
      </c>
      <c r="V443" s="345">
        <f>V434/R$428</f>
        <v>0</v>
      </c>
      <c r="W443" s="345">
        <f>W434/R$428</f>
        <v>5.2701361699999998</v>
      </c>
      <c r="X443" s="345">
        <f>X434/$R$428</f>
        <v>3</v>
      </c>
      <c r="Y443" s="345">
        <f>Y434/$R$428</f>
        <v>9.18070831</v>
      </c>
      <c r="Z443" s="345"/>
      <c r="AA443" s="345"/>
      <c r="AB443" s="345"/>
      <c r="AC443" s="345"/>
    </row>
    <row r="444" spans="1:29">
      <c r="I444" s="190" t="s">
        <v>50</v>
      </c>
      <c r="J444" s="345">
        <f>J431/R$428</f>
        <v>5.1558000000000002</v>
      </c>
      <c r="K444" s="345">
        <f>K431/R$428</f>
        <v>4.7619470000000002</v>
      </c>
      <c r="L444" s="345">
        <f>L431/R$428</f>
        <v>4.9728999999999992</v>
      </c>
      <c r="M444" s="345">
        <f>M431/R$428</f>
        <v>4.67</v>
      </c>
      <c r="N444" s="345">
        <f>N431/R$428</f>
        <v>5.9260000000000002</v>
      </c>
      <c r="O444" s="345">
        <f>O431/R$428</f>
        <v>4.2093999999999996</v>
      </c>
      <c r="P444" s="345">
        <f>P431/R$428</f>
        <v>6.4991000000000003</v>
      </c>
      <c r="Q444" s="345">
        <f>Q431/R$428</f>
        <v>5.3618000000000006</v>
      </c>
      <c r="R444" s="345">
        <f>R431/R$428</f>
        <v>6.9989999999999997</v>
      </c>
      <c r="S444" s="345">
        <f>S431/R$428</f>
        <v>6.2469999999999999</v>
      </c>
      <c r="T444" s="345">
        <f>T431/R$428</f>
        <v>7.7480219999999997</v>
      </c>
      <c r="U444" s="345">
        <f>U431/R$428</f>
        <v>8.6435546999999993</v>
      </c>
      <c r="V444" s="345">
        <f>V431/R$428</f>
        <v>6.7480219999999997</v>
      </c>
      <c r="W444" s="345">
        <f>W431/R$428</f>
        <v>7.2614248200000002</v>
      </c>
      <c r="X444" s="345">
        <f>X431/$R$428</f>
        <v>9.4329060000000009</v>
      </c>
      <c r="Y444" s="345">
        <f>Y431/$R$428</f>
        <v>11.03776117</v>
      </c>
      <c r="Z444" s="345"/>
      <c r="AA444" s="345"/>
      <c r="AB444" s="345"/>
      <c r="AC444" s="345"/>
    </row>
    <row r="445" spans="1:29">
      <c r="I445" s="190" t="s">
        <v>51</v>
      </c>
      <c r="J445" s="345">
        <f>J432/R$428</f>
        <v>14.7408</v>
      </c>
      <c r="K445" s="345">
        <f>K432/R$428</f>
        <v>14.049023999999999</v>
      </c>
      <c r="L445" s="345">
        <f>L432/R$428</f>
        <v>15.9564</v>
      </c>
      <c r="M445" s="345">
        <f>M432/R$428</f>
        <v>15.0778</v>
      </c>
      <c r="N445" s="345">
        <f>N432/R$428</f>
        <v>18.734400000000001</v>
      </c>
      <c r="O445" s="345">
        <f>O432/R$428</f>
        <v>17.424599999999998</v>
      </c>
      <c r="P445" s="345">
        <f>P432/R$428</f>
        <v>18.634400000000003</v>
      </c>
      <c r="Q445" s="345">
        <f>Q432/R$428</f>
        <v>17.140900000000002</v>
      </c>
      <c r="R445" s="345">
        <f>R432/R$428</f>
        <v>20.939</v>
      </c>
      <c r="S445" s="345">
        <f>S432/R$428</f>
        <v>20.651</v>
      </c>
      <c r="T445" s="345">
        <f>T432/R$428</f>
        <v>19.762021000000001</v>
      </c>
      <c r="U445" s="345">
        <f>U432/R$428</f>
        <v>28.6771405</v>
      </c>
      <c r="V445" s="345">
        <f>V432/R$428</f>
        <v>27.084315</v>
      </c>
      <c r="W445" s="345">
        <f>W432/R$428</f>
        <v>36.044077420000001</v>
      </c>
      <c r="X445" s="345">
        <f>X432/$R$428</f>
        <v>28.951544999999999</v>
      </c>
      <c r="Y445" s="345">
        <f>Y432/$R$428</f>
        <v>29.188256969999998</v>
      </c>
      <c r="Z445" s="345"/>
      <c r="AA445" s="345"/>
      <c r="AB445" s="345"/>
      <c r="AC445" s="345"/>
    </row>
    <row r="446" spans="1:29">
      <c r="A446" s="201" t="s">
        <v>433</v>
      </c>
      <c r="I446" s="190" t="s">
        <v>451</v>
      </c>
      <c r="J446" s="190"/>
      <c r="K446" s="190"/>
      <c r="L446" s="190"/>
      <c r="M446" s="190"/>
      <c r="N446" s="339"/>
      <c r="O446" s="339"/>
      <c r="P446" s="326"/>
      <c r="Q446" s="326"/>
      <c r="R446" s="346">
        <v>0</v>
      </c>
      <c r="S446" s="346">
        <v>0</v>
      </c>
      <c r="T446" s="346">
        <v>0</v>
      </c>
      <c r="U446" s="346">
        <v>0</v>
      </c>
      <c r="V446" s="346">
        <v>0</v>
      </c>
      <c r="W446" s="346">
        <v>0</v>
      </c>
      <c r="X446" s="345">
        <f>X436/$R$428</f>
        <v>0</v>
      </c>
      <c r="Y446" s="345">
        <f>Y436/$R$428</f>
        <v>42.481037270000002</v>
      </c>
      <c r="Z446" s="345"/>
      <c r="AA446" s="345"/>
      <c r="AB446" s="345"/>
      <c r="AC446" s="345"/>
    </row>
    <row r="447" spans="1:29">
      <c r="I447" s="189" t="s">
        <v>49</v>
      </c>
      <c r="J447" s="345">
        <f>J430/R$428</f>
        <v>61.895099999999999</v>
      </c>
      <c r="K447" s="345">
        <f>K430/R$428</f>
        <v>59.602553000000007</v>
      </c>
      <c r="L447" s="345">
        <f>L430/R$428</f>
        <v>65.797200000000004</v>
      </c>
      <c r="M447" s="345">
        <f>M430/R$428</f>
        <v>65.560299999999998</v>
      </c>
      <c r="N447" s="345">
        <f>N430/R$428</f>
        <v>70.925600000000003</v>
      </c>
      <c r="O447" s="345">
        <f>O430/R$428</f>
        <v>67.490600000000001</v>
      </c>
      <c r="P447" s="345">
        <f>P430/R$428</f>
        <v>78.111500000000007</v>
      </c>
      <c r="Q447" s="345">
        <f>Q430/R$428</f>
        <v>73.812899999999999</v>
      </c>
      <c r="R447" s="345">
        <f>R430/R$428</f>
        <v>80.099000000000004</v>
      </c>
      <c r="S447" s="345">
        <f>S430/R$428</f>
        <v>75.510999999999996</v>
      </c>
      <c r="T447" s="345">
        <f>T430/R$428</f>
        <v>93.765108999999995</v>
      </c>
      <c r="U447" s="345">
        <f>U430/R$428</f>
        <v>87.014648019999996</v>
      </c>
      <c r="V447" s="345">
        <f>V430/R$428</f>
        <v>93.296655000000001</v>
      </c>
      <c r="W447" s="345">
        <f>W430/R$428</f>
        <v>93.757604189999995</v>
      </c>
      <c r="X447" s="345">
        <f>X430/$R$428</f>
        <v>99.49804300000001</v>
      </c>
      <c r="Y447" s="345">
        <f>Y430/$R$428</f>
        <v>99.285917220000002</v>
      </c>
      <c r="Z447" s="345"/>
      <c r="AA447" s="345"/>
      <c r="AB447" s="345"/>
      <c r="AC447" s="345"/>
    </row>
    <row r="448" spans="1:29" ht="15">
      <c r="I448" s="191" t="s">
        <v>48</v>
      </c>
      <c r="J448" s="347">
        <f t="shared" ref="J448:Q448" si="59">SUM(J442:J443)</f>
        <v>6.7189000000000005</v>
      </c>
      <c r="K448" s="347">
        <f t="shared" si="59"/>
        <v>10.7925</v>
      </c>
      <c r="L448" s="347">
        <f t="shared" si="59"/>
        <v>3.0753000000000004</v>
      </c>
      <c r="M448" s="347">
        <f t="shared" si="59"/>
        <v>7.0282999999999998</v>
      </c>
      <c r="N448" s="347">
        <f t="shared" si="59"/>
        <v>3.8253000000000004</v>
      </c>
      <c r="O448" s="347">
        <f t="shared" si="59"/>
        <v>11.4513</v>
      </c>
      <c r="P448" s="347">
        <f t="shared" si="59"/>
        <v>5.7086000000000006</v>
      </c>
      <c r="Q448" s="347">
        <f t="shared" si="59"/>
        <v>7.8282000000000007</v>
      </c>
      <c r="R448" s="347">
        <f t="shared" ref="R448:W448" si="60">SUM(R442:R446)</f>
        <v>41.483000000000004</v>
      </c>
      <c r="S448" s="347">
        <f t="shared" si="60"/>
        <v>46.902999999999999</v>
      </c>
      <c r="T448" s="347">
        <f t="shared" si="60"/>
        <v>35.485343</v>
      </c>
      <c r="U448" s="347">
        <f t="shared" si="60"/>
        <v>51.264870989999999</v>
      </c>
      <c r="V448" s="347">
        <f t="shared" si="60"/>
        <v>40.937390000000001</v>
      </c>
      <c r="W448" s="347">
        <f t="shared" si="60"/>
        <v>67.996566819999998</v>
      </c>
      <c r="X448" s="347">
        <f>SUM(X441:X447)</f>
        <v>146.73779400000001</v>
      </c>
      <c r="Y448" s="347">
        <f>SUM(Y441:Y447)</f>
        <v>199.88615978999999</v>
      </c>
      <c r="Z448" s="347"/>
      <c r="AA448" s="347"/>
      <c r="AB448" s="347"/>
      <c r="AC448" s="347"/>
    </row>
    <row r="449" spans="9:27" s="204" customFormat="1">
      <c r="J449" s="214"/>
      <c r="K449" s="214"/>
      <c r="L449" s="214"/>
      <c r="M449" s="214"/>
      <c r="N449" s="214"/>
      <c r="O449" s="214"/>
      <c r="P449" s="214"/>
      <c r="Q449" s="214"/>
      <c r="R449" s="214"/>
      <c r="S449" s="214"/>
      <c r="T449" s="214"/>
      <c r="U449" s="214"/>
      <c r="V449" s="214"/>
      <c r="W449" s="214"/>
      <c r="X449" s="245"/>
      <c r="Y449" s="245"/>
      <c r="Z449" s="245"/>
      <c r="AA449" s="245"/>
    </row>
    <row r="450" spans="9:27" s="204" customFormat="1" ht="15" hidden="1">
      <c r="I450" s="348" t="s">
        <v>443</v>
      </c>
      <c r="J450" s="245"/>
      <c r="K450" s="245"/>
      <c r="L450" s="259">
        <v>2005</v>
      </c>
      <c r="M450" s="259">
        <v>2006</v>
      </c>
      <c r="N450" s="259">
        <v>2007</v>
      </c>
      <c r="O450" s="259">
        <v>2008</v>
      </c>
      <c r="P450" s="259">
        <v>2009</v>
      </c>
      <c r="Q450" s="259">
        <v>2010</v>
      </c>
      <c r="R450" s="259">
        <v>2011</v>
      </c>
      <c r="S450" s="245"/>
      <c r="T450" s="245"/>
      <c r="U450" s="245"/>
      <c r="V450" s="205"/>
      <c r="W450" s="214"/>
      <c r="X450" s="229"/>
      <c r="Y450" s="229"/>
    </row>
    <row r="451" spans="9:27" s="204" customFormat="1" hidden="1">
      <c r="I451" s="190" t="s">
        <v>422</v>
      </c>
      <c r="J451" s="190"/>
      <c r="K451" s="190"/>
      <c r="L451" s="263">
        <v>0</v>
      </c>
      <c r="M451" s="263">
        <v>0</v>
      </c>
      <c r="N451" s="263">
        <v>0</v>
      </c>
      <c r="O451" s="263">
        <v>1</v>
      </c>
      <c r="P451" s="263">
        <v>0</v>
      </c>
      <c r="Q451" s="263">
        <v>0</v>
      </c>
      <c r="R451" s="263"/>
      <c r="S451" s="245"/>
      <c r="T451" s="245"/>
      <c r="U451" s="245"/>
      <c r="V451" s="205"/>
      <c r="W451" s="214"/>
      <c r="X451" s="229"/>
      <c r="Y451" s="229"/>
    </row>
    <row r="452" spans="9:27" s="204" customFormat="1" hidden="1">
      <c r="I452" s="190" t="s">
        <v>423</v>
      </c>
      <c r="J452" s="190"/>
      <c r="K452" s="190"/>
      <c r="L452" s="263">
        <v>0</v>
      </c>
      <c r="M452" s="263">
        <v>0</v>
      </c>
      <c r="N452" s="263">
        <v>0</v>
      </c>
      <c r="O452" s="263">
        <v>1</v>
      </c>
      <c r="P452" s="263">
        <v>1</v>
      </c>
      <c r="Q452" s="263">
        <v>0</v>
      </c>
      <c r="R452" s="263"/>
      <c r="S452" s="245"/>
      <c r="T452" s="245"/>
      <c r="U452" s="245"/>
      <c r="V452" s="205"/>
      <c r="W452" s="214"/>
      <c r="X452" s="229"/>
      <c r="Y452" s="229"/>
    </row>
    <row r="453" spans="9:27" s="204" customFormat="1" hidden="1">
      <c r="J453" s="245"/>
      <c r="K453" s="245"/>
      <c r="L453" s="205"/>
      <c r="M453" s="205"/>
      <c r="N453" s="205"/>
      <c r="O453" s="205"/>
      <c r="P453" s="205"/>
      <c r="R453" s="245"/>
      <c r="S453" s="245"/>
      <c r="T453" s="245"/>
      <c r="U453" s="245"/>
      <c r="V453" s="205"/>
      <c r="W453" s="214"/>
      <c r="X453" s="229"/>
      <c r="Y453" s="229"/>
    </row>
    <row r="454" spans="9:27" s="204" customFormat="1" hidden="1">
      <c r="J454" s="245"/>
      <c r="K454" s="245"/>
      <c r="L454" s="205"/>
      <c r="M454" s="205"/>
      <c r="N454" s="205"/>
      <c r="O454" s="205"/>
      <c r="P454" s="205"/>
      <c r="R454" s="245"/>
      <c r="S454" s="245"/>
      <c r="T454" s="245"/>
      <c r="U454" s="245"/>
      <c r="V454" s="205"/>
      <c r="W454" s="214"/>
      <c r="X454" s="229"/>
      <c r="Y454" s="229"/>
    </row>
    <row r="455" spans="9:27" s="204" customFormat="1" ht="15" hidden="1">
      <c r="I455" s="348" t="s">
        <v>444</v>
      </c>
      <c r="J455" s="245"/>
      <c r="K455" s="245"/>
      <c r="L455" s="349">
        <v>2005</v>
      </c>
      <c r="M455" s="349">
        <v>2006</v>
      </c>
      <c r="N455" s="349">
        <v>2007</v>
      </c>
      <c r="O455" s="349">
        <v>2008</v>
      </c>
      <c r="P455" s="349">
        <v>2009</v>
      </c>
      <c r="Q455" s="349">
        <v>2010</v>
      </c>
      <c r="R455" s="245"/>
      <c r="S455" s="245"/>
      <c r="T455" s="245"/>
      <c r="U455" s="245"/>
      <c r="V455" s="205"/>
      <c r="W455" s="214"/>
      <c r="X455" s="229"/>
      <c r="Y455" s="229"/>
    </row>
    <row r="456" spans="9:27" s="204" customFormat="1" hidden="1">
      <c r="I456" s="190" t="s">
        <v>422</v>
      </c>
      <c r="J456" s="190"/>
      <c r="K456" s="190"/>
      <c r="L456" s="260">
        <v>0</v>
      </c>
      <c r="M456" s="260">
        <v>0</v>
      </c>
      <c r="N456" s="260">
        <v>3</v>
      </c>
      <c r="O456" s="260">
        <v>1</v>
      </c>
      <c r="P456" s="260"/>
      <c r="Q456" s="260"/>
      <c r="R456" s="245"/>
      <c r="S456" s="265"/>
      <c r="T456" s="245"/>
      <c r="U456" s="245"/>
      <c r="V456" s="205"/>
      <c r="W456" s="214"/>
      <c r="X456" s="229"/>
      <c r="Y456" s="229"/>
    </row>
    <row r="457" spans="9:27" s="204" customFormat="1" hidden="1">
      <c r="I457" s="190" t="s">
        <v>423</v>
      </c>
      <c r="J457" s="190"/>
      <c r="K457" s="190"/>
      <c r="L457" s="260">
        <v>0</v>
      </c>
      <c r="M457" s="260">
        <v>2</v>
      </c>
      <c r="N457" s="260">
        <v>2</v>
      </c>
      <c r="O457" s="260">
        <v>8</v>
      </c>
      <c r="P457" s="260"/>
      <c r="Q457" s="260">
        <v>1</v>
      </c>
      <c r="R457" s="245"/>
      <c r="S457" s="245"/>
      <c r="T457" s="245"/>
      <c r="U457" s="245"/>
      <c r="V457" s="205"/>
      <c r="W457" s="214"/>
      <c r="X457" s="229"/>
      <c r="Y457" s="229"/>
    </row>
    <row r="458" spans="9:27" s="204" customFormat="1" hidden="1">
      <c r="J458" s="245"/>
      <c r="K458" s="245"/>
      <c r="L458" s="245"/>
      <c r="M458" s="245"/>
      <c r="N458" s="245"/>
      <c r="O458" s="245"/>
      <c r="P458" s="245"/>
      <c r="Q458" s="245"/>
      <c r="R458" s="245"/>
      <c r="S458" s="245"/>
      <c r="T458" s="245"/>
      <c r="U458" s="245"/>
      <c r="V458" s="205"/>
      <c r="W458" s="214"/>
      <c r="X458" s="229"/>
      <c r="Y458" s="229"/>
    </row>
    <row r="459" spans="9:27" s="204" customFormat="1" ht="15" hidden="1">
      <c r="I459" s="350"/>
      <c r="J459" s="245"/>
      <c r="K459" s="245"/>
      <c r="L459" s="245"/>
      <c r="M459" s="245"/>
      <c r="N459" s="245"/>
      <c r="O459" s="245"/>
      <c r="P459" s="245"/>
      <c r="Q459" s="245"/>
      <c r="R459" s="205"/>
      <c r="S459" s="205"/>
      <c r="T459" s="205"/>
      <c r="U459" s="205"/>
      <c r="V459" s="214"/>
      <c r="W459" s="214"/>
      <c r="X459" s="229"/>
    </row>
    <row r="460" spans="9:27" ht="30" hidden="1">
      <c r="I460" s="351" t="s">
        <v>441</v>
      </c>
    </row>
    <row r="461" spans="9:27" ht="15" hidden="1">
      <c r="I461" s="190"/>
      <c r="J461" s="284" t="s">
        <v>2</v>
      </c>
      <c r="K461" s="284" t="s">
        <v>22</v>
      </c>
      <c r="L461" s="284" t="s">
        <v>25</v>
      </c>
      <c r="M461" s="284" t="s">
        <v>44</v>
      </c>
      <c r="N461" s="284" t="s">
        <v>55</v>
      </c>
      <c r="O461" s="284" t="s">
        <v>70</v>
      </c>
      <c r="P461" s="284" t="s">
        <v>72</v>
      </c>
      <c r="Q461" s="286">
        <v>2005</v>
      </c>
      <c r="R461" s="284" t="s">
        <v>83</v>
      </c>
      <c r="S461" s="286">
        <v>2007</v>
      </c>
      <c r="T461" s="286">
        <v>2008</v>
      </c>
      <c r="U461" s="286">
        <v>2009</v>
      </c>
      <c r="V461" s="286">
        <v>2010</v>
      </c>
      <c r="W461" s="286">
        <v>2011</v>
      </c>
      <c r="X461" s="286">
        <v>2012</v>
      </c>
      <c r="Y461" s="286">
        <v>2013</v>
      </c>
      <c r="Z461" s="286">
        <v>2014</v>
      </c>
      <c r="AA461" s="286">
        <v>2015</v>
      </c>
    </row>
    <row r="462" spans="9:27" hidden="1">
      <c r="I462" s="190" t="s">
        <v>81</v>
      </c>
      <c r="J462" s="274"/>
      <c r="K462" s="260"/>
      <c r="L462" s="260"/>
      <c r="M462" s="260"/>
      <c r="N462" s="260"/>
      <c r="O462" s="274"/>
      <c r="P462" s="260"/>
      <c r="Q462" s="260"/>
      <c r="R462" s="260"/>
      <c r="S462" s="260"/>
      <c r="T462" s="274"/>
      <c r="U462" s="274"/>
      <c r="V462" s="274">
        <v>8</v>
      </c>
      <c r="W462" s="274">
        <v>8</v>
      </c>
      <c r="X462" s="274">
        <v>9</v>
      </c>
      <c r="Y462" s="238"/>
      <c r="Z462" s="238"/>
      <c r="AA462" s="238"/>
    </row>
    <row r="463" spans="9:27" hidden="1">
      <c r="I463" s="190" t="s">
        <v>8</v>
      </c>
      <c r="J463" s="274"/>
      <c r="K463" s="260"/>
      <c r="L463" s="260"/>
      <c r="M463" s="260"/>
      <c r="N463" s="260"/>
      <c r="O463" s="274"/>
      <c r="P463" s="260"/>
      <c r="Q463" s="260"/>
      <c r="R463" s="260"/>
      <c r="S463" s="260"/>
      <c r="T463" s="260"/>
      <c r="U463" s="274"/>
      <c r="V463" s="274">
        <v>5</v>
      </c>
      <c r="W463" s="274">
        <v>7</v>
      </c>
      <c r="X463" s="274">
        <v>7</v>
      </c>
      <c r="Y463" s="238"/>
      <c r="Z463" s="238"/>
      <c r="AA463" s="238"/>
    </row>
    <row r="464" spans="9:27" hidden="1">
      <c r="I464" s="190" t="s">
        <v>10</v>
      </c>
      <c r="J464" s="274"/>
      <c r="K464" s="260"/>
      <c r="L464" s="260"/>
      <c r="M464" s="260"/>
      <c r="N464" s="260"/>
      <c r="O464" s="274"/>
      <c r="P464" s="260"/>
      <c r="Q464" s="260"/>
      <c r="R464" s="260"/>
      <c r="S464" s="260"/>
      <c r="T464" s="274"/>
      <c r="U464" s="274"/>
      <c r="V464" s="274">
        <v>11</v>
      </c>
      <c r="W464" s="274">
        <v>10</v>
      </c>
      <c r="X464" s="274">
        <v>12</v>
      </c>
      <c r="Y464" s="238"/>
      <c r="Z464" s="238"/>
      <c r="AA464" s="238"/>
    </row>
    <row r="465" spans="9:27" hidden="1">
      <c r="I465" s="190" t="s">
        <v>11</v>
      </c>
      <c r="J465" s="274"/>
      <c r="K465" s="260"/>
      <c r="L465" s="260"/>
      <c r="M465" s="260"/>
      <c r="N465" s="260"/>
      <c r="O465" s="274"/>
      <c r="P465" s="260"/>
      <c r="Q465" s="260"/>
      <c r="R465" s="260"/>
      <c r="S465" s="260"/>
      <c r="T465" s="274"/>
      <c r="U465" s="274"/>
      <c r="V465" s="274">
        <v>2</v>
      </c>
      <c r="W465" s="274">
        <v>3</v>
      </c>
      <c r="X465" s="274">
        <v>3</v>
      </c>
      <c r="Y465" s="238"/>
      <c r="Z465" s="238"/>
      <c r="AA465" s="238"/>
    </row>
    <row r="466" spans="9:27" hidden="1">
      <c r="I466" s="190" t="s">
        <v>21</v>
      </c>
      <c r="J466" s="274"/>
      <c r="K466" s="274"/>
      <c r="L466" s="274"/>
      <c r="M466" s="274"/>
      <c r="N466" s="274"/>
      <c r="O466" s="274"/>
      <c r="P466" s="274"/>
      <c r="Q466" s="274"/>
      <c r="R466" s="274"/>
      <c r="S466" s="274"/>
      <c r="T466" s="274"/>
      <c r="U466" s="274"/>
      <c r="V466" s="274">
        <f>SUM(V462:V465)</f>
        <v>26</v>
      </c>
      <c r="W466" s="274">
        <f>SUM(W462:W465)</f>
        <v>28</v>
      </c>
      <c r="X466" s="274">
        <f>SUM(X462:X465)</f>
        <v>31</v>
      </c>
      <c r="Y466" s="238"/>
      <c r="Z466" s="238"/>
      <c r="AA466" s="238"/>
    </row>
    <row r="467" spans="9:27" hidden="1">
      <c r="I467" s="190" t="s">
        <v>43</v>
      </c>
      <c r="J467" s="274"/>
      <c r="K467" s="274"/>
      <c r="L467" s="274"/>
      <c r="M467" s="274"/>
      <c r="N467" s="274"/>
      <c r="O467" s="274"/>
      <c r="P467" s="260"/>
      <c r="Q467" s="260"/>
      <c r="R467" s="260"/>
      <c r="S467" s="260"/>
      <c r="T467" s="260"/>
      <c r="U467" s="274"/>
      <c r="V467" s="274">
        <v>13</v>
      </c>
      <c r="W467" s="274">
        <v>15</v>
      </c>
      <c r="X467" s="274">
        <v>16</v>
      </c>
      <c r="AA467" s="238"/>
    </row>
    <row r="468" spans="9:27" hidden="1">
      <c r="I468" s="190"/>
      <c r="J468" s="274"/>
      <c r="K468" s="274"/>
      <c r="L468" s="274"/>
      <c r="M468" s="274"/>
      <c r="N468" s="274"/>
      <c r="O468" s="274"/>
      <c r="P468" s="274"/>
      <c r="Q468" s="260"/>
      <c r="R468" s="260"/>
      <c r="S468" s="260"/>
      <c r="T468" s="260"/>
      <c r="U468" s="274"/>
      <c r="V468" s="274"/>
      <c r="W468" s="274"/>
      <c r="AA468" s="238"/>
    </row>
    <row r="469" spans="9:27" s="204" customFormat="1" ht="15" hidden="1">
      <c r="I469" s="258"/>
      <c r="J469" s="214"/>
      <c r="K469" s="214"/>
      <c r="L469" s="214"/>
      <c r="M469" s="214"/>
      <c r="N469" s="214"/>
      <c r="O469" s="214"/>
      <c r="P469" s="205"/>
      <c r="Q469" s="205"/>
      <c r="R469" s="205"/>
      <c r="S469" s="205"/>
      <c r="T469" s="205"/>
      <c r="U469" s="214"/>
      <c r="V469" s="214"/>
      <c r="W469" s="214"/>
    </row>
    <row r="470" spans="9:27" hidden="1"/>
    <row r="471" spans="9:27" ht="15" hidden="1">
      <c r="I471" s="348" t="s">
        <v>441</v>
      </c>
      <c r="J471" s="305"/>
      <c r="K471" s="305"/>
      <c r="L471" s="305"/>
      <c r="M471" s="305"/>
      <c r="N471" s="305"/>
      <c r="O471" s="305"/>
      <c r="P471" s="305"/>
      <c r="Q471" s="305"/>
      <c r="R471" s="305"/>
      <c r="S471" s="335"/>
      <c r="T471" s="335"/>
      <c r="U471" s="335"/>
      <c r="V471" s="335"/>
      <c r="W471" s="335"/>
      <c r="X471" s="214"/>
    </row>
    <row r="472" spans="9:27" ht="15" hidden="1">
      <c r="I472" s="191"/>
      <c r="J472" s="305"/>
      <c r="K472" s="305"/>
      <c r="L472" s="305"/>
      <c r="M472" s="305"/>
      <c r="N472" s="305"/>
      <c r="O472" s="305"/>
      <c r="P472" s="305"/>
      <c r="Q472" s="305"/>
      <c r="R472" s="305"/>
      <c r="S472" s="335"/>
      <c r="T472" s="335"/>
      <c r="U472" s="335"/>
      <c r="V472" s="335"/>
      <c r="W472" s="286">
        <v>2011</v>
      </c>
      <c r="X472" s="286">
        <v>2012</v>
      </c>
      <c r="Y472" s="286">
        <v>2013</v>
      </c>
      <c r="Z472" s="286">
        <v>2014</v>
      </c>
      <c r="AA472" s="286">
        <v>2015</v>
      </c>
    </row>
    <row r="473" spans="9:27" ht="15" hidden="1">
      <c r="I473" s="190" t="s">
        <v>474</v>
      </c>
      <c r="J473" s="305"/>
      <c r="K473" s="305"/>
      <c r="L473" s="305"/>
      <c r="M473" s="305"/>
      <c r="N473" s="305"/>
      <c r="O473" s="305"/>
      <c r="P473" s="305"/>
      <c r="Q473" s="305"/>
      <c r="R473" s="305"/>
      <c r="S473" s="335"/>
      <c r="T473" s="335"/>
      <c r="U473" s="335"/>
      <c r="V473" s="335"/>
      <c r="W473" s="274">
        <v>15</v>
      </c>
      <c r="X473" s="214"/>
    </row>
    <row r="474" spans="9:27" ht="15" hidden="1">
      <c r="I474" s="190" t="s">
        <v>475</v>
      </c>
      <c r="J474" s="305"/>
      <c r="K474" s="305"/>
      <c r="L474" s="305"/>
      <c r="M474" s="305"/>
      <c r="N474" s="305"/>
      <c r="O474" s="305"/>
      <c r="P474" s="305"/>
      <c r="Q474" s="305"/>
      <c r="R474" s="305"/>
      <c r="S474" s="335"/>
      <c r="T474" s="335"/>
      <c r="U474" s="335"/>
      <c r="V474" s="335"/>
      <c r="W474" s="274">
        <v>13</v>
      </c>
      <c r="X474" s="214"/>
    </row>
    <row r="475" spans="9:27" ht="15" hidden="1">
      <c r="I475" s="190" t="s">
        <v>21</v>
      </c>
      <c r="J475" s="305"/>
      <c r="K475" s="305"/>
      <c r="L475" s="305"/>
      <c r="M475" s="305"/>
      <c r="N475" s="305"/>
      <c r="O475" s="305"/>
      <c r="P475" s="305"/>
      <c r="Q475" s="305"/>
      <c r="R475" s="305"/>
      <c r="S475" s="335"/>
      <c r="T475" s="335"/>
      <c r="U475" s="335"/>
      <c r="V475" s="335"/>
      <c r="W475" s="260">
        <f>SUM(W473:W474)</f>
        <v>28</v>
      </c>
      <c r="X475" s="214"/>
    </row>
    <row r="476" spans="9:27" ht="15" hidden="1">
      <c r="I476" s="190" t="s">
        <v>341</v>
      </c>
      <c r="J476" s="305"/>
      <c r="K476" s="305"/>
      <c r="L476" s="305"/>
      <c r="M476" s="305"/>
      <c r="N476" s="305"/>
      <c r="O476" s="305"/>
      <c r="P476" s="305"/>
      <c r="Q476" s="305"/>
      <c r="R476" s="305"/>
      <c r="S476" s="335"/>
      <c r="T476" s="335"/>
      <c r="U476" s="335"/>
      <c r="V476" s="335"/>
      <c r="W476" s="335">
        <f>W474/W473</f>
        <v>0.8666666666666667</v>
      </c>
      <c r="X476" s="214"/>
    </row>
    <row r="477" spans="9:27" ht="15" hidden="1">
      <c r="I477" s="190"/>
      <c r="J477" s="305"/>
      <c r="K477" s="305"/>
      <c r="L477" s="305"/>
      <c r="M477" s="305"/>
      <c r="N477" s="305"/>
      <c r="O477" s="305"/>
      <c r="P477" s="305"/>
      <c r="Q477" s="305"/>
      <c r="R477" s="305"/>
      <c r="S477" s="335"/>
      <c r="T477" s="335"/>
      <c r="U477" s="335"/>
      <c r="V477" s="335"/>
      <c r="W477" s="214"/>
      <c r="X477" s="214"/>
    </row>
    <row r="478" spans="9:27" hidden="1">
      <c r="S478" s="205"/>
      <c r="T478" s="205"/>
      <c r="U478" s="205"/>
      <c r="W478" s="214"/>
      <c r="X478" s="205"/>
      <c r="Y478" s="238"/>
    </row>
    <row r="479" spans="9:27" hidden="1"/>
    <row r="480" spans="9:27" ht="15" hidden="1">
      <c r="I480" s="348" t="s">
        <v>442</v>
      </c>
      <c r="J480" s="274"/>
      <c r="K480" s="274"/>
      <c r="L480" s="274"/>
      <c r="M480" s="274"/>
      <c r="N480" s="274"/>
      <c r="O480" s="274"/>
      <c r="P480" s="260"/>
      <c r="Q480" s="260"/>
      <c r="R480" s="260"/>
      <c r="S480" s="260"/>
      <c r="T480" s="260"/>
      <c r="U480" s="260"/>
      <c r="V480" s="260"/>
      <c r="W480" s="260"/>
      <c r="X480" s="205"/>
      <c r="Y480" s="238"/>
    </row>
    <row r="481" spans="9:30" ht="15" hidden="1">
      <c r="I481" s="190"/>
      <c r="J481" s="286" t="s">
        <v>2</v>
      </c>
      <c r="K481" s="286" t="s">
        <v>22</v>
      </c>
      <c r="L481" s="286" t="s">
        <v>25</v>
      </c>
      <c r="M481" s="286" t="s">
        <v>44</v>
      </c>
      <c r="N481" s="286" t="s">
        <v>55</v>
      </c>
      <c r="O481" s="286" t="s">
        <v>70</v>
      </c>
      <c r="P481" s="286" t="s">
        <v>72</v>
      </c>
      <c r="Q481" s="286">
        <v>2005</v>
      </c>
      <c r="R481" s="286">
        <v>2006</v>
      </c>
      <c r="S481" s="286">
        <v>2007</v>
      </c>
      <c r="T481" s="286">
        <v>2008</v>
      </c>
      <c r="U481" s="286">
        <v>2009</v>
      </c>
      <c r="V481" s="286">
        <v>2010</v>
      </c>
      <c r="W481" s="286">
        <v>2011</v>
      </c>
      <c r="X481" s="286">
        <v>2012</v>
      </c>
      <c r="Y481" s="286">
        <v>2013</v>
      </c>
      <c r="Z481" s="286">
        <v>2014</v>
      </c>
      <c r="AA481" s="286">
        <v>2015</v>
      </c>
    </row>
    <row r="482" spans="9:30" hidden="1">
      <c r="I482" s="287" t="s">
        <v>219</v>
      </c>
      <c r="J482" s="274"/>
      <c r="K482" s="274"/>
      <c r="L482" s="274"/>
      <c r="M482" s="274"/>
      <c r="N482" s="274"/>
      <c r="O482" s="274"/>
      <c r="P482" s="274"/>
      <c r="Q482" s="260"/>
      <c r="R482" s="260"/>
      <c r="S482" s="260"/>
      <c r="T482" s="260"/>
      <c r="U482" s="274"/>
      <c r="V482" s="274">
        <v>3</v>
      </c>
      <c r="W482" s="274">
        <v>3</v>
      </c>
      <c r="X482" s="274">
        <v>3</v>
      </c>
    </row>
    <row r="483" spans="9:30" hidden="1">
      <c r="I483" s="287" t="s">
        <v>459</v>
      </c>
      <c r="J483" s="274"/>
      <c r="K483" s="274"/>
      <c r="L483" s="274"/>
      <c r="M483" s="274"/>
      <c r="N483" s="274"/>
      <c r="O483" s="274"/>
      <c r="P483" s="274"/>
      <c r="Q483" s="260"/>
      <c r="R483" s="260"/>
      <c r="S483" s="260"/>
      <c r="T483" s="274"/>
      <c r="U483" s="274"/>
      <c r="V483" s="274">
        <f>V466</f>
        <v>26</v>
      </c>
      <c r="W483" s="274">
        <f>W466</f>
        <v>28</v>
      </c>
      <c r="X483" s="274">
        <f>X466</f>
        <v>31</v>
      </c>
    </row>
    <row r="484" spans="9:30" hidden="1">
      <c r="I484" s="287" t="s">
        <v>21</v>
      </c>
      <c r="J484" s="274"/>
      <c r="K484" s="274"/>
      <c r="L484" s="274"/>
      <c r="M484" s="274"/>
      <c r="N484" s="274"/>
      <c r="O484" s="274"/>
      <c r="P484" s="274"/>
      <c r="Q484" s="274"/>
      <c r="R484" s="274"/>
      <c r="S484" s="274"/>
      <c r="T484" s="274"/>
      <c r="U484" s="274"/>
      <c r="V484" s="274">
        <f>V482+V483</f>
        <v>29</v>
      </c>
      <c r="W484" s="274">
        <f>W482+W483</f>
        <v>31</v>
      </c>
      <c r="X484" s="274">
        <f>X482+X483</f>
        <v>34</v>
      </c>
    </row>
    <row r="485" spans="9:30" hidden="1">
      <c r="L485" s="214"/>
      <c r="R485" s="315"/>
      <c r="S485" s="315"/>
      <c r="T485" s="205"/>
      <c r="U485" s="205"/>
      <c r="V485" s="205"/>
      <c r="W485" s="205"/>
    </row>
    <row r="486" spans="9:30" hidden="1">
      <c r="R486" s="315" t="e">
        <f>#REF!/#REF!</f>
        <v>#REF!</v>
      </c>
      <c r="S486" s="315" t="e">
        <f>#REF!/#REF!</f>
        <v>#REF!</v>
      </c>
      <c r="T486" s="205"/>
      <c r="U486" s="205"/>
      <c r="V486" s="205"/>
      <c r="W486" s="205"/>
    </row>
    <row r="487" spans="9:30" ht="15" hidden="1">
      <c r="I487" s="348" t="s">
        <v>477</v>
      </c>
      <c r="J487" s="260"/>
      <c r="K487" s="260"/>
      <c r="L487" s="260"/>
      <c r="M487" s="274"/>
      <c r="N487" s="274"/>
      <c r="O487" s="274"/>
      <c r="P487" s="352"/>
      <c r="Q487" s="260"/>
      <c r="R487" s="260"/>
      <c r="S487" s="260"/>
      <c r="T487" s="260"/>
      <c r="U487" s="274"/>
      <c r="V487" s="286"/>
      <c r="W487" s="286"/>
    </row>
    <row r="488" spans="9:30" ht="15" hidden="1">
      <c r="I488" s="190"/>
      <c r="J488" s="284" t="s">
        <v>2</v>
      </c>
      <c r="K488" s="284" t="s">
        <v>22</v>
      </c>
      <c r="L488" s="284" t="s">
        <v>25</v>
      </c>
      <c r="M488" s="284" t="s">
        <v>44</v>
      </c>
      <c r="N488" s="284" t="s">
        <v>55</v>
      </c>
      <c r="O488" s="284" t="s">
        <v>70</v>
      </c>
      <c r="P488" s="284" t="s">
        <v>72</v>
      </c>
      <c r="Q488" s="286">
        <v>2005</v>
      </c>
      <c r="R488" s="286">
        <v>2006</v>
      </c>
      <c r="S488" s="286">
        <v>2007</v>
      </c>
      <c r="T488" s="286">
        <v>2008</v>
      </c>
      <c r="U488" s="276">
        <v>2009</v>
      </c>
      <c r="V488" s="286">
        <v>2010</v>
      </c>
      <c r="W488" s="286">
        <v>2011</v>
      </c>
      <c r="X488" s="286">
        <v>2012</v>
      </c>
      <c r="Y488" s="286">
        <v>2013</v>
      </c>
      <c r="Z488" s="286">
        <v>2014</v>
      </c>
      <c r="AA488" s="286">
        <v>2015</v>
      </c>
    </row>
    <row r="489" spans="9:30" hidden="1">
      <c r="I489" s="190" t="s">
        <v>461</v>
      </c>
      <c r="J489" s="274"/>
      <c r="K489" s="274"/>
      <c r="L489" s="274"/>
      <c r="M489" s="274"/>
      <c r="N489" s="274"/>
      <c r="O489" s="274"/>
      <c r="P489" s="274"/>
      <c r="Q489" s="274"/>
      <c r="R489" s="274"/>
      <c r="S489" s="274"/>
      <c r="T489" s="274"/>
      <c r="U489" s="274"/>
      <c r="V489" s="353">
        <v>13</v>
      </c>
      <c r="W489" s="353">
        <v>21</v>
      </c>
      <c r="X489" s="353">
        <v>51</v>
      </c>
      <c r="Y489" s="238"/>
    </row>
    <row r="490" spans="9:30" hidden="1">
      <c r="I490" s="190" t="s">
        <v>462</v>
      </c>
      <c r="J490" s="274"/>
      <c r="K490" s="274"/>
      <c r="L490" s="274"/>
      <c r="M490" s="274"/>
      <c r="N490" s="274"/>
      <c r="O490" s="274"/>
      <c r="P490" s="274"/>
      <c r="Q490" s="274"/>
      <c r="R490" s="274"/>
      <c r="S490" s="274"/>
      <c r="T490" s="260"/>
      <c r="U490" s="274"/>
      <c r="V490" s="353">
        <v>9</v>
      </c>
      <c r="W490" s="353">
        <v>12</v>
      </c>
      <c r="X490" s="353">
        <v>17</v>
      </c>
      <c r="Y490" s="238"/>
    </row>
    <row r="491" spans="9:30" hidden="1">
      <c r="I491" s="190" t="s">
        <v>76</v>
      </c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262">
        <f>(V489+V490)/V467</f>
        <v>1.6923076923076923</v>
      </c>
      <c r="W491" s="262">
        <f>(W489+W490)/W467</f>
        <v>2.2000000000000002</v>
      </c>
      <c r="X491" s="262">
        <f>(X489+X490)/X467</f>
        <v>4.25</v>
      </c>
      <c r="Y491" s="238"/>
    </row>
    <row r="492" spans="9:30" hidden="1">
      <c r="I492" s="190" t="s">
        <v>77</v>
      </c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262">
        <f>V489/V467</f>
        <v>1</v>
      </c>
      <c r="W492" s="262">
        <f>W489/W467</f>
        <v>1.4</v>
      </c>
      <c r="X492" s="262">
        <f>X489/X467</f>
        <v>3.1875</v>
      </c>
      <c r="Y492" s="238"/>
    </row>
    <row r="493" spans="9:30" hidden="1">
      <c r="R493" s="315" t="e">
        <f>#REF!/#REF!</f>
        <v>#REF!</v>
      </c>
      <c r="S493" s="315" t="e">
        <f>#REF!/#REF!</f>
        <v>#REF!</v>
      </c>
      <c r="T493" s="205"/>
      <c r="U493" s="205"/>
      <c r="V493" s="205"/>
      <c r="W493" s="205"/>
    </row>
    <row r="494" spans="9:30" hidden="1">
      <c r="O494" s="202" t="s">
        <v>198</v>
      </c>
      <c r="S494" s="202"/>
      <c r="T494" s="202"/>
      <c r="X494" s="238"/>
      <c r="Z494" s="238"/>
      <c r="AA494" s="238"/>
      <c r="AB494" s="238"/>
      <c r="AC494" s="238"/>
      <c r="AD494" s="238"/>
    </row>
    <row r="495" spans="9:30" ht="15" hidden="1">
      <c r="I495" s="348" t="s">
        <v>478</v>
      </c>
      <c r="J495" s="274"/>
      <c r="K495" s="274"/>
      <c r="L495" s="274"/>
      <c r="M495" s="274"/>
      <c r="N495" s="274"/>
      <c r="O495" s="274"/>
      <c r="P495" s="260"/>
      <c r="Q495" s="260"/>
      <c r="R495" s="260"/>
      <c r="S495" s="260"/>
      <c r="T495" s="260"/>
      <c r="U495" s="260"/>
      <c r="V495" s="260"/>
      <c r="W495" s="260"/>
      <c r="X495" s="260"/>
      <c r="Y495" s="260"/>
      <c r="Z495" s="260"/>
      <c r="AA495" s="260"/>
    </row>
    <row r="496" spans="9:30" ht="15" hidden="1">
      <c r="I496" s="190"/>
      <c r="J496" s="286"/>
      <c r="K496" s="286"/>
      <c r="L496" s="286"/>
      <c r="M496" s="286"/>
      <c r="N496" s="286"/>
      <c r="O496" s="286"/>
      <c r="P496" s="286"/>
      <c r="Q496" s="286"/>
      <c r="R496" s="286"/>
      <c r="S496" s="286"/>
      <c r="T496" s="286"/>
      <c r="U496" s="286"/>
      <c r="V496" s="286"/>
      <c r="W496" s="286">
        <v>2011</v>
      </c>
      <c r="X496" s="286">
        <v>2012</v>
      </c>
      <c r="Y496" s="286">
        <v>2013</v>
      </c>
      <c r="Z496" s="286">
        <v>2014</v>
      </c>
      <c r="AA496" s="286">
        <v>2015</v>
      </c>
    </row>
    <row r="497" spans="9:32" hidden="1">
      <c r="I497" s="190" t="s">
        <v>6</v>
      </c>
      <c r="J497" s="274"/>
      <c r="K497" s="274"/>
      <c r="L497" s="274"/>
      <c r="M497" s="274"/>
      <c r="N497" s="274"/>
      <c r="O497" s="274"/>
      <c r="P497" s="274"/>
      <c r="Q497" s="260"/>
      <c r="R497" s="260"/>
      <c r="S497" s="299"/>
      <c r="T497" s="299"/>
      <c r="U497" s="299"/>
      <c r="V497" s="299"/>
      <c r="W497" s="299">
        <v>16</v>
      </c>
      <c r="X497" s="299">
        <v>17</v>
      </c>
    </row>
    <row r="498" spans="9:32" hidden="1">
      <c r="I498" s="190" t="s">
        <v>5</v>
      </c>
      <c r="J498" s="274"/>
      <c r="K498" s="274"/>
      <c r="L498" s="274"/>
      <c r="M498" s="274"/>
      <c r="N498" s="274"/>
      <c r="O498" s="274"/>
      <c r="P498" s="274"/>
      <c r="Q498" s="260"/>
      <c r="R498" s="260"/>
      <c r="S498" s="260"/>
      <c r="T498" s="260"/>
      <c r="U498" s="274"/>
      <c r="V498" s="274"/>
      <c r="W498" s="274">
        <v>5</v>
      </c>
      <c r="X498" s="274">
        <v>6</v>
      </c>
    </row>
    <row r="499" spans="9:32" hidden="1">
      <c r="I499" s="190" t="s">
        <v>13</v>
      </c>
      <c r="J499" s="274"/>
      <c r="K499" s="274"/>
      <c r="L499" s="274"/>
      <c r="M499" s="274"/>
      <c r="N499" s="274"/>
      <c r="O499" s="274"/>
      <c r="P499" s="274"/>
      <c r="Q499" s="260"/>
      <c r="R499" s="260"/>
      <c r="S499" s="260"/>
      <c r="T499" s="260"/>
      <c r="U499" s="274"/>
      <c r="V499" s="274"/>
      <c r="W499" s="274">
        <v>7</v>
      </c>
      <c r="X499" s="274">
        <v>7</v>
      </c>
    </row>
    <row r="500" spans="9:32" hidden="1">
      <c r="I500" s="190" t="s">
        <v>220</v>
      </c>
      <c r="J500" s="274"/>
      <c r="K500" s="274"/>
      <c r="L500" s="274"/>
      <c r="M500" s="274"/>
      <c r="N500" s="274"/>
      <c r="O500" s="274"/>
      <c r="P500" s="274"/>
      <c r="Q500" s="274"/>
      <c r="R500" s="274"/>
      <c r="S500" s="299"/>
      <c r="T500" s="299"/>
      <c r="U500" s="299"/>
      <c r="V500" s="299"/>
      <c r="W500" s="299">
        <f>SUM(W497:W499)</f>
        <v>28</v>
      </c>
      <c r="X500" s="299">
        <f>SUM(X497:X499)</f>
        <v>30</v>
      </c>
      <c r="Y500" s="226"/>
      <c r="Z500" s="226"/>
      <c r="AA500" s="226"/>
      <c r="AB500" s="226"/>
      <c r="AC500" s="226"/>
      <c r="AD500" s="226"/>
    </row>
    <row r="501" spans="9:32" hidden="1">
      <c r="Q501" s="203" t="s">
        <v>57</v>
      </c>
      <c r="T501" s="202"/>
      <c r="U501" s="203"/>
      <c r="V501" s="203"/>
      <c r="W501" s="203"/>
      <c r="Z501" s="354"/>
      <c r="AA501" s="354"/>
      <c r="AB501" s="354"/>
      <c r="AC501" s="354"/>
      <c r="AD501" s="354"/>
    </row>
    <row r="502" spans="9:32" hidden="1">
      <c r="I502" s="190"/>
      <c r="J502" s="260"/>
      <c r="K502" s="260"/>
      <c r="L502" s="260"/>
      <c r="M502" s="260"/>
      <c r="N502" s="260"/>
      <c r="O502" s="274"/>
      <c r="P502" s="352"/>
      <c r="Q502" s="300"/>
      <c r="R502" s="300"/>
      <c r="S502" s="300"/>
      <c r="T502" s="300"/>
      <c r="U502" s="260"/>
      <c r="V502" s="263"/>
      <c r="W502" s="263"/>
      <c r="X502" s="229"/>
      <c r="Y502" s="238"/>
      <c r="Z502" s="238"/>
    </row>
    <row r="503" spans="9:32" ht="15" hidden="1">
      <c r="I503" s="348" t="s">
        <v>476</v>
      </c>
      <c r="J503" s="260"/>
      <c r="K503" s="260"/>
      <c r="L503" s="260"/>
      <c r="M503" s="260"/>
      <c r="N503" s="260"/>
      <c r="O503" s="274"/>
      <c r="P503" s="352"/>
      <c r="Q503" s="300"/>
      <c r="R503" s="300"/>
      <c r="S503" s="300"/>
      <c r="T503" s="300"/>
      <c r="U503" s="260"/>
      <c r="X503" s="229"/>
      <c r="Y503" s="238"/>
      <c r="Z503" s="238"/>
    </row>
    <row r="504" spans="9:32" ht="15" hidden="1">
      <c r="I504" s="191"/>
      <c r="J504" s="260"/>
      <c r="K504" s="260"/>
      <c r="L504" s="260"/>
      <c r="M504" s="260"/>
      <c r="N504" s="260"/>
      <c r="O504" s="274"/>
      <c r="P504" s="352"/>
      <c r="Q504" s="300"/>
      <c r="R504" s="300"/>
      <c r="S504" s="300"/>
      <c r="T504" s="300"/>
      <c r="U504" s="260"/>
      <c r="V504" s="355">
        <v>2010</v>
      </c>
      <c r="W504" s="355">
        <v>2011</v>
      </c>
      <c r="X504" s="286">
        <v>2012</v>
      </c>
      <c r="Y504" s="286">
        <v>2013</v>
      </c>
      <c r="Z504" s="286">
        <v>2014</v>
      </c>
      <c r="AA504" s="286">
        <v>2015</v>
      </c>
    </row>
    <row r="505" spans="9:32" hidden="1">
      <c r="I505" s="190" t="s">
        <v>58</v>
      </c>
      <c r="J505" s="260"/>
      <c r="K505" s="260"/>
      <c r="L505" s="260"/>
      <c r="M505" s="260"/>
      <c r="N505" s="260"/>
      <c r="O505" s="274"/>
      <c r="P505" s="352"/>
      <c r="Q505" s="300"/>
      <c r="R505" s="300"/>
      <c r="S505" s="300"/>
      <c r="T505" s="300"/>
      <c r="U505" s="260"/>
      <c r="V505" s="263"/>
      <c r="W505" s="263">
        <v>0</v>
      </c>
      <c r="X505" s="263">
        <v>0</v>
      </c>
      <c r="Y505" s="238"/>
      <c r="Z505" s="238"/>
    </row>
    <row r="506" spans="9:32" hidden="1">
      <c r="I506" s="190" t="s">
        <v>57</v>
      </c>
      <c r="J506" s="260"/>
      <c r="K506" s="260"/>
      <c r="L506" s="260"/>
      <c r="M506" s="260"/>
      <c r="N506" s="260"/>
      <c r="O506" s="274"/>
      <c r="P506" s="352"/>
      <c r="Q506" s="300"/>
      <c r="R506" s="300"/>
      <c r="S506" s="300"/>
      <c r="T506" s="300"/>
      <c r="U506" s="260"/>
      <c r="V506" s="263"/>
      <c r="W506" s="263">
        <v>1</v>
      </c>
      <c r="X506" s="263">
        <v>0</v>
      </c>
      <c r="Y506" s="238"/>
      <c r="Z506" s="238"/>
    </row>
    <row r="507" spans="9:32" hidden="1">
      <c r="I507" s="190" t="s">
        <v>56</v>
      </c>
      <c r="J507" s="260"/>
      <c r="K507" s="260"/>
      <c r="L507" s="260"/>
      <c r="M507" s="260"/>
      <c r="N507" s="260"/>
      <c r="O507" s="274"/>
      <c r="P507" s="352"/>
      <c r="Q507" s="300"/>
      <c r="R507" s="300"/>
      <c r="S507" s="300"/>
      <c r="T507" s="300"/>
      <c r="U507" s="260"/>
      <c r="V507" s="263"/>
      <c r="W507" s="263">
        <v>10</v>
      </c>
      <c r="X507" s="263">
        <v>12</v>
      </c>
      <c r="Y507" s="238"/>
      <c r="Z507" s="238"/>
    </row>
    <row r="508" spans="9:32" hidden="1">
      <c r="I508" s="190" t="s">
        <v>46</v>
      </c>
      <c r="J508" s="260"/>
      <c r="K508" s="260"/>
      <c r="L508" s="260"/>
      <c r="M508" s="260"/>
      <c r="N508" s="260"/>
      <c r="O508" s="274"/>
      <c r="P508" s="352"/>
      <c r="Q508" s="300"/>
      <c r="R508" s="300"/>
      <c r="S508" s="300"/>
      <c r="T508" s="300"/>
      <c r="U508" s="260"/>
      <c r="V508" s="263"/>
      <c r="W508" s="263">
        <v>3</v>
      </c>
      <c r="X508" s="263">
        <v>3</v>
      </c>
      <c r="Y508" s="238"/>
      <c r="Z508" s="238"/>
    </row>
    <row r="509" spans="9:32" hidden="1">
      <c r="I509" s="190" t="s">
        <v>45</v>
      </c>
      <c r="J509" s="260"/>
      <c r="K509" s="260"/>
      <c r="L509" s="260"/>
      <c r="M509" s="260"/>
      <c r="N509" s="260"/>
      <c r="O509" s="274"/>
      <c r="P509" s="352"/>
      <c r="Q509" s="300"/>
      <c r="R509" s="300"/>
      <c r="S509" s="300"/>
      <c r="T509" s="300"/>
      <c r="U509" s="260"/>
      <c r="V509" s="263"/>
      <c r="W509" s="263">
        <f>SUM(W505:W508)</f>
        <v>14</v>
      </c>
      <c r="X509" s="263">
        <f>SUM(X505:X508)</f>
        <v>15</v>
      </c>
      <c r="Y509" s="238"/>
      <c r="Z509" s="238"/>
    </row>
    <row r="510" spans="9:32" s="204" customFormat="1" hidden="1">
      <c r="I510" s="235"/>
      <c r="J510" s="214"/>
      <c r="K510" s="214"/>
      <c r="L510" s="214"/>
      <c r="M510" s="254"/>
      <c r="N510" s="254"/>
      <c r="O510" s="254"/>
      <c r="P510" s="254"/>
      <c r="Q510" s="254"/>
      <c r="R510" s="254"/>
      <c r="S510" s="254"/>
      <c r="T510" s="254"/>
      <c r="U510" s="254"/>
      <c r="V510" s="254"/>
      <c r="W510" s="254"/>
      <c r="X510" s="229"/>
    </row>
    <row r="511" spans="9:32" s="204" customFormat="1" hidden="1">
      <c r="I511" s="235"/>
      <c r="J511" s="214"/>
      <c r="K511" s="214"/>
      <c r="L511" s="214"/>
      <c r="M511" s="254"/>
      <c r="N511" s="254"/>
      <c r="O511" s="254"/>
      <c r="P511" s="254"/>
      <c r="Q511" s="254"/>
      <c r="R511" s="254"/>
      <c r="S511" s="254"/>
      <c r="T511" s="254"/>
      <c r="U511" s="254"/>
      <c r="V511" s="254"/>
      <c r="W511" s="214"/>
      <c r="X511" s="229"/>
    </row>
    <row r="512" spans="9:32" ht="15" hidden="1" customHeight="1">
      <c r="I512" s="356" t="s">
        <v>446</v>
      </c>
      <c r="J512" s="357" t="s">
        <v>2</v>
      </c>
      <c r="K512" s="357" t="s">
        <v>22</v>
      </c>
      <c r="L512" s="357" t="s">
        <v>25</v>
      </c>
      <c r="M512" s="357" t="s">
        <v>44</v>
      </c>
      <c r="N512" s="357" t="s">
        <v>55</v>
      </c>
      <c r="O512" s="357" t="s">
        <v>70</v>
      </c>
      <c r="P512" s="357" t="s">
        <v>72</v>
      </c>
      <c r="Q512" s="327">
        <v>2005</v>
      </c>
      <c r="R512" s="327">
        <v>2006</v>
      </c>
      <c r="S512" s="327">
        <v>2007</v>
      </c>
      <c r="T512" s="327">
        <v>2008</v>
      </c>
      <c r="U512" s="327">
        <v>2009</v>
      </c>
      <c r="V512" s="327">
        <v>2010</v>
      </c>
      <c r="W512" s="327">
        <v>2011</v>
      </c>
      <c r="X512" s="286">
        <v>2012</v>
      </c>
      <c r="Y512" s="286">
        <v>2013</v>
      </c>
      <c r="Z512" s="286">
        <v>2014</v>
      </c>
      <c r="AA512" s="286">
        <v>2015</v>
      </c>
      <c r="AC512" s="358"/>
      <c r="AD512" s="359"/>
      <c r="AE512" s="359"/>
      <c r="AF512" s="359"/>
    </row>
    <row r="513" spans="9:32" s="204" customFormat="1" hidden="1">
      <c r="I513" s="340" t="s">
        <v>61</v>
      </c>
      <c r="J513" s="360"/>
      <c r="K513" s="360"/>
      <c r="L513" s="360"/>
      <c r="M513" s="360"/>
      <c r="N513" s="360"/>
      <c r="O513" s="360"/>
      <c r="P513" s="360"/>
      <c r="Q513" s="280"/>
      <c r="R513" s="360"/>
      <c r="S513" s="260"/>
      <c r="T513" s="260"/>
      <c r="U513" s="260"/>
      <c r="V513" s="260"/>
      <c r="W513" s="260"/>
      <c r="X513" s="229"/>
    </row>
    <row r="514" spans="9:32" s="204" customFormat="1" hidden="1">
      <c r="I514" s="340" t="s">
        <v>366</v>
      </c>
      <c r="J514" s="360"/>
      <c r="K514" s="360"/>
      <c r="L514" s="360"/>
      <c r="M514" s="360"/>
      <c r="N514" s="360"/>
      <c r="O514" s="360"/>
      <c r="P514" s="360"/>
      <c r="Q514" s="280"/>
      <c r="R514" s="360"/>
      <c r="S514" s="260"/>
      <c r="T514" s="260"/>
      <c r="U514" s="260"/>
      <c r="V514" s="260">
        <v>2</v>
      </c>
      <c r="W514" s="260">
        <v>3</v>
      </c>
      <c r="X514" s="229"/>
    </row>
    <row r="515" spans="9:32" s="204" customFormat="1" hidden="1">
      <c r="I515" s="340" t="s">
        <v>199</v>
      </c>
      <c r="J515" s="360"/>
      <c r="K515" s="360"/>
      <c r="L515" s="360"/>
      <c r="M515" s="360"/>
      <c r="N515" s="360"/>
      <c r="O515" s="360"/>
      <c r="P515" s="360"/>
      <c r="Q515" s="280"/>
      <c r="R515" s="360"/>
      <c r="S515" s="260"/>
      <c r="T515" s="260"/>
      <c r="U515" s="260"/>
      <c r="V515" s="260">
        <v>7</v>
      </c>
      <c r="W515" s="260">
        <v>9</v>
      </c>
      <c r="X515" s="229"/>
    </row>
    <row r="516" spans="9:32" s="204" customFormat="1" hidden="1">
      <c r="I516" s="340" t="s">
        <v>440</v>
      </c>
      <c r="J516" s="360"/>
      <c r="K516" s="360"/>
      <c r="L516" s="360"/>
      <c r="M516" s="360"/>
      <c r="N516" s="360"/>
      <c r="O516" s="360"/>
      <c r="P516" s="360"/>
      <c r="Q516" s="280"/>
      <c r="R516" s="360"/>
      <c r="S516" s="260"/>
      <c r="T516" s="260"/>
      <c r="U516" s="260"/>
      <c r="V516" s="260">
        <v>15</v>
      </c>
      <c r="W516" s="260">
        <v>20</v>
      </c>
      <c r="X516" s="229"/>
    </row>
    <row r="517" spans="9:32" s="204" customFormat="1" hidden="1">
      <c r="I517" s="340" t="s">
        <v>419</v>
      </c>
      <c r="J517" s="360"/>
      <c r="K517" s="360"/>
      <c r="L517" s="360"/>
      <c r="M517" s="360"/>
      <c r="N517" s="360"/>
      <c r="O517" s="360"/>
      <c r="P517" s="360"/>
      <c r="Q517" s="280"/>
      <c r="R517" s="360"/>
      <c r="S517" s="260"/>
      <c r="T517" s="260"/>
      <c r="U517" s="260"/>
      <c r="V517" s="260">
        <v>0</v>
      </c>
      <c r="W517" s="260">
        <v>0</v>
      </c>
      <c r="X517" s="229"/>
    </row>
    <row r="518" spans="9:32" s="204" customFormat="1" hidden="1">
      <c r="I518" s="340" t="s">
        <v>361</v>
      </c>
      <c r="J518" s="360"/>
      <c r="K518" s="360"/>
      <c r="L518" s="360"/>
      <c r="M518" s="360"/>
      <c r="N518" s="360"/>
      <c r="O518" s="360"/>
      <c r="P518" s="360"/>
      <c r="Q518" s="280"/>
      <c r="R518" s="360"/>
      <c r="S518" s="260"/>
      <c r="T518" s="260"/>
      <c r="U518" s="260"/>
      <c r="V518" s="260">
        <v>9</v>
      </c>
      <c r="W518" s="260">
        <v>9</v>
      </c>
      <c r="X518" s="229"/>
    </row>
    <row r="519" spans="9:32" s="204" customFormat="1" hidden="1">
      <c r="I519" s="340" t="s">
        <v>21</v>
      </c>
      <c r="J519" s="360"/>
      <c r="K519" s="360"/>
      <c r="L519" s="360"/>
      <c r="M519" s="360"/>
      <c r="N519" s="360"/>
      <c r="O519" s="360"/>
      <c r="P519" s="360"/>
      <c r="Q519" s="280"/>
      <c r="R519" s="280"/>
      <c r="S519" s="260"/>
      <c r="T519" s="260"/>
      <c r="U519" s="260"/>
      <c r="V519" s="260">
        <f>SUM(V514:V518)</f>
        <v>33</v>
      </c>
      <c r="W519" s="260">
        <f>SUM(W514:W518)</f>
        <v>41</v>
      </c>
      <c r="X519" s="229"/>
    </row>
    <row r="520" spans="9:32" s="204" customFormat="1" hidden="1">
      <c r="I520" s="340"/>
      <c r="J520" s="360"/>
      <c r="K520" s="360"/>
      <c r="L520" s="360"/>
      <c r="M520" s="360"/>
      <c r="N520" s="360"/>
      <c r="O520" s="360"/>
      <c r="P520" s="360"/>
      <c r="Q520" s="280"/>
      <c r="R520" s="280"/>
      <c r="S520" s="260"/>
      <c r="T520" s="260"/>
      <c r="U520" s="260"/>
      <c r="V520" s="260"/>
      <c r="W520" s="260"/>
      <c r="X520" s="229"/>
    </row>
    <row r="521" spans="9:32" s="204" customFormat="1" hidden="1">
      <c r="I521" s="340" t="s">
        <v>350</v>
      </c>
      <c r="J521" s="361"/>
      <c r="K521" s="361"/>
      <c r="L521" s="361"/>
      <c r="M521" s="361"/>
      <c r="N521" s="361"/>
      <c r="O521" s="361"/>
      <c r="P521" s="361"/>
      <c r="Q521" s="361"/>
      <c r="R521" s="361"/>
      <c r="S521" s="361"/>
      <c r="T521" s="361"/>
      <c r="U521" s="361"/>
      <c r="V521" s="361">
        <f>V519/V467</f>
        <v>2.5384615384615383</v>
      </c>
      <c r="W521" s="361">
        <f>W519/W467</f>
        <v>2.7333333333333334</v>
      </c>
      <c r="X521" s="229"/>
    </row>
    <row r="522" spans="9:32" s="204" customFormat="1" hidden="1">
      <c r="I522" s="340" t="s">
        <v>351</v>
      </c>
      <c r="J522" s="360"/>
      <c r="K522" s="360"/>
      <c r="L522" s="360"/>
      <c r="M522" s="361"/>
      <c r="N522" s="361"/>
      <c r="O522" s="361"/>
      <c r="P522" s="361"/>
      <c r="Q522" s="361"/>
      <c r="R522" s="361"/>
      <c r="S522" s="361"/>
      <c r="T522" s="361"/>
      <c r="U522" s="361"/>
      <c r="V522" s="361">
        <f>V516/V467</f>
        <v>1.1538461538461537</v>
      </c>
      <c r="W522" s="361">
        <f>W516/W467</f>
        <v>1.3333333333333333</v>
      </c>
      <c r="X522" s="229"/>
    </row>
    <row r="523" spans="9:32" s="204" customFormat="1" hidden="1">
      <c r="I523" s="340" t="s">
        <v>344</v>
      </c>
      <c r="J523" s="274"/>
      <c r="K523" s="274"/>
      <c r="L523" s="274"/>
      <c r="M523" s="323"/>
      <c r="N523" s="323"/>
      <c r="O523" s="323"/>
      <c r="P523" s="323"/>
      <c r="Q523" s="323"/>
      <c r="R523" s="323"/>
      <c r="S523" s="323"/>
      <c r="T523" s="323"/>
      <c r="U523" s="323"/>
      <c r="V523" s="361">
        <f>V516/V467</f>
        <v>1.1538461538461537</v>
      </c>
      <c r="W523" s="361">
        <f>W516/W467</f>
        <v>1.3333333333333333</v>
      </c>
      <c r="X523" s="229"/>
    </row>
    <row r="524" spans="9:32" ht="15" hidden="1" customHeight="1">
      <c r="AC524" s="358"/>
      <c r="AD524" s="359"/>
      <c r="AE524" s="359"/>
      <c r="AF524" s="359"/>
    </row>
    <row r="525" spans="9:32" ht="15" hidden="1" customHeight="1">
      <c r="AC525" s="358"/>
      <c r="AD525" s="359"/>
      <c r="AE525" s="359"/>
      <c r="AF525" s="359"/>
    </row>
    <row r="526" spans="9:32" hidden="1">
      <c r="I526" s="238"/>
      <c r="J526" s="238"/>
      <c r="K526" s="238"/>
      <c r="L526" s="238"/>
      <c r="M526" s="203"/>
      <c r="N526" s="203"/>
      <c r="O526" s="203"/>
      <c r="P526" s="202"/>
      <c r="Q526" s="202"/>
      <c r="R526" s="202"/>
      <c r="U526" s="203"/>
      <c r="V526" s="203"/>
      <c r="W526" s="203"/>
    </row>
    <row r="527" spans="9:32" ht="15" hidden="1">
      <c r="I527" s="356" t="s">
        <v>479</v>
      </c>
      <c r="J527" s="191"/>
      <c r="K527" s="191"/>
      <c r="L527" s="191"/>
      <c r="M527" s="274"/>
      <c r="N527" s="274"/>
      <c r="O527" s="274"/>
      <c r="P527" s="274"/>
      <c r="Q527" s="274"/>
      <c r="R527" s="274"/>
      <c r="S527" s="260"/>
      <c r="T527" s="260"/>
      <c r="U527" s="274"/>
      <c r="V527" s="274"/>
      <c r="W527" s="274"/>
    </row>
    <row r="528" spans="9:32" ht="15" hidden="1"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>
        <v>2010</v>
      </c>
      <c r="W528" s="100">
        <v>2011</v>
      </c>
      <c r="X528" s="286">
        <v>2012</v>
      </c>
      <c r="Y528" s="286">
        <v>2013</v>
      </c>
      <c r="Z528" s="286">
        <v>2014</v>
      </c>
      <c r="AA528" s="286">
        <v>2015</v>
      </c>
    </row>
    <row r="529" spans="2:28" hidden="1">
      <c r="I529" s="101" t="s">
        <v>203</v>
      </c>
      <c r="J529" s="101"/>
      <c r="K529" s="101"/>
      <c r="L529" s="101"/>
      <c r="M529" s="102"/>
      <c r="N529" s="102"/>
      <c r="O529" s="102"/>
      <c r="P529" s="102"/>
      <c r="Q529" s="102"/>
      <c r="R529" s="274"/>
      <c r="S529" s="274"/>
      <c r="T529" s="274"/>
      <c r="U529" s="260"/>
      <c r="V529" s="260"/>
      <c r="W529" s="260">
        <v>6</v>
      </c>
    </row>
    <row r="530" spans="2:28" hidden="1">
      <c r="I530" s="101" t="s">
        <v>204</v>
      </c>
      <c r="J530" s="101"/>
      <c r="K530" s="101"/>
      <c r="L530" s="101"/>
      <c r="M530" s="102"/>
      <c r="N530" s="102"/>
      <c r="O530" s="102"/>
      <c r="P530" s="102"/>
      <c r="Q530" s="102"/>
      <c r="R530" s="274"/>
      <c r="S530" s="274"/>
      <c r="T530" s="274"/>
      <c r="U530" s="260"/>
      <c r="V530" s="260"/>
      <c r="W530" s="260">
        <v>28</v>
      </c>
    </row>
    <row r="531" spans="2:28" hidden="1">
      <c r="I531" s="101" t="s">
        <v>45</v>
      </c>
      <c r="J531" s="101"/>
      <c r="K531" s="101"/>
      <c r="L531" s="101"/>
      <c r="M531" s="102"/>
      <c r="N531" s="102"/>
      <c r="O531" s="102"/>
      <c r="P531" s="102"/>
      <c r="Q531" s="102"/>
      <c r="R531" s="274"/>
      <c r="S531" s="274"/>
      <c r="T531" s="274"/>
      <c r="U531" s="260"/>
      <c r="V531" s="260"/>
      <c r="W531" s="260">
        <f>SUM(W529:W530)</f>
        <v>34</v>
      </c>
    </row>
    <row r="532" spans="2:28" hidden="1">
      <c r="B532" s="362"/>
      <c r="C532" s="362"/>
      <c r="D532" s="362"/>
      <c r="E532" s="362"/>
      <c r="F532" s="362"/>
      <c r="G532" s="362"/>
      <c r="H532" s="362"/>
      <c r="I532" s="362"/>
      <c r="J532" s="363"/>
      <c r="O532" s="364"/>
      <c r="R532" s="365"/>
      <c r="T532" s="365"/>
      <c r="U532" s="203"/>
      <c r="V532" s="364"/>
      <c r="W532" s="364"/>
      <c r="X532" s="238"/>
    </row>
    <row r="533" spans="2:28" ht="18" hidden="1" customHeight="1">
      <c r="I533" s="356" t="s">
        <v>480</v>
      </c>
      <c r="J533" s="274"/>
      <c r="K533" s="274"/>
      <c r="L533" s="274"/>
      <c r="M533" s="274"/>
      <c r="N533" s="274"/>
      <c r="O533" s="274"/>
      <c r="P533" s="260"/>
      <c r="Q533" s="260"/>
      <c r="R533" s="260"/>
      <c r="S533" s="260"/>
      <c r="T533" s="260"/>
      <c r="U533" s="260"/>
      <c r="V533" s="260"/>
      <c r="W533" s="260"/>
      <c r="X533" s="238"/>
    </row>
    <row r="534" spans="2:28" ht="15" hidden="1">
      <c r="I534" s="190"/>
      <c r="J534" s="284"/>
      <c r="K534" s="284"/>
      <c r="L534" s="284"/>
      <c r="M534" s="284"/>
      <c r="N534" s="284"/>
      <c r="O534" s="284"/>
      <c r="P534" s="284"/>
      <c r="Q534" s="284"/>
      <c r="R534" s="286"/>
      <c r="S534" s="286"/>
      <c r="T534" s="100"/>
      <c r="U534" s="100"/>
      <c r="V534" s="100">
        <v>2010</v>
      </c>
      <c r="W534" s="100">
        <v>2011</v>
      </c>
      <c r="X534" s="286">
        <v>2012</v>
      </c>
      <c r="Y534" s="286">
        <v>2013</v>
      </c>
      <c r="Z534" s="286">
        <v>2014</v>
      </c>
      <c r="AA534" s="286">
        <v>2015</v>
      </c>
    </row>
    <row r="535" spans="2:28" hidden="1">
      <c r="I535" s="190" t="s">
        <v>36</v>
      </c>
      <c r="J535" s="360"/>
      <c r="K535" s="360"/>
      <c r="L535" s="360"/>
      <c r="M535" s="360"/>
      <c r="N535" s="360"/>
      <c r="O535" s="360"/>
      <c r="P535" s="360"/>
      <c r="Q535" s="360"/>
      <c r="R535" s="360"/>
      <c r="S535" s="366"/>
      <c r="T535" s="366"/>
      <c r="U535" s="366"/>
      <c r="V535" s="366">
        <v>8</v>
      </c>
      <c r="W535" s="366">
        <v>10</v>
      </c>
      <c r="X535" s="366">
        <v>21</v>
      </c>
      <c r="Y535" s="238"/>
    </row>
    <row r="536" spans="2:28" hidden="1">
      <c r="I536" s="190" t="s">
        <v>37</v>
      </c>
      <c r="J536" s="360"/>
      <c r="K536" s="360"/>
      <c r="L536" s="360"/>
      <c r="M536" s="360"/>
      <c r="N536" s="360"/>
      <c r="O536" s="360"/>
      <c r="P536" s="360"/>
      <c r="Q536" s="360"/>
      <c r="R536" s="360"/>
      <c r="S536" s="366"/>
      <c r="T536" s="366"/>
      <c r="U536" s="366"/>
      <c r="V536" s="366">
        <v>9</v>
      </c>
      <c r="W536" s="366">
        <v>24</v>
      </c>
      <c r="X536" s="366">
        <v>11</v>
      </c>
      <c r="Y536" s="367"/>
    </row>
    <row r="537" spans="2:28" hidden="1">
      <c r="I537" s="190" t="s">
        <v>78</v>
      </c>
      <c r="J537" s="361"/>
      <c r="K537" s="361"/>
      <c r="L537" s="361"/>
      <c r="M537" s="361"/>
      <c r="N537" s="361"/>
      <c r="O537" s="361"/>
      <c r="P537" s="361"/>
      <c r="Q537" s="361"/>
      <c r="R537" s="361"/>
      <c r="S537" s="361"/>
      <c r="T537" s="361"/>
      <c r="U537" s="361"/>
      <c r="V537" s="361">
        <f>(V535+V536)/V467</f>
        <v>1.3076923076923077</v>
      </c>
      <c r="W537" s="361">
        <f>(W535+W536)/W467</f>
        <v>2.2666666666666666</v>
      </c>
      <c r="X537" s="361">
        <f>(X535+X536)/X467</f>
        <v>2</v>
      </c>
      <c r="Y537" s="238"/>
    </row>
    <row r="538" spans="2:28" hidden="1">
      <c r="I538" s="190"/>
      <c r="J538" s="361"/>
      <c r="K538" s="361"/>
      <c r="L538" s="361"/>
      <c r="M538" s="361"/>
      <c r="N538" s="361"/>
      <c r="O538" s="361"/>
      <c r="P538" s="361"/>
      <c r="Q538" s="361"/>
      <c r="R538" s="361"/>
      <c r="S538" s="361"/>
      <c r="T538" s="361"/>
      <c r="U538" s="361"/>
      <c r="V538" s="361"/>
      <c r="W538" s="361"/>
      <c r="X538" s="367"/>
      <c r="Y538" s="238"/>
    </row>
    <row r="539" spans="2:28" s="204" customFormat="1" ht="15" hidden="1">
      <c r="L539" s="274"/>
      <c r="M539" s="260"/>
      <c r="N539" s="260"/>
      <c r="O539" s="300">
        <f t="shared" ref="O539:P539" si="61">O377/O379</f>
        <v>166.52777777777777</v>
      </c>
      <c r="P539" s="300">
        <f t="shared" si="61"/>
        <v>211.46114285714285</v>
      </c>
      <c r="Q539" s="300" t="e">
        <f>#REF!/#REF!</f>
        <v>#REF!</v>
      </c>
      <c r="R539" s="300" t="e">
        <f>#REF!/#REF!</f>
        <v>#REF!</v>
      </c>
      <c r="S539" s="300" t="e">
        <f>#REF!/#REF!</f>
        <v>#REF!</v>
      </c>
      <c r="T539" s="300" t="e">
        <f>#REF!/#REF!</f>
        <v>#REF!</v>
      </c>
      <c r="U539" s="300">
        <f>Q377/Q379</f>
        <v>586.3125</v>
      </c>
      <c r="V539" s="300" t="e">
        <f>#REF!/#REF!</f>
        <v>#REF!</v>
      </c>
      <c r="W539" s="300" t="e">
        <f>#REF!/#REF!</f>
        <v>#REF!</v>
      </c>
      <c r="X539" s="242"/>
      <c r="Y539" s="242"/>
      <c r="AA539" s="321"/>
    </row>
    <row r="540" spans="2:28" ht="15" hidden="1">
      <c r="I540" s="191" t="s">
        <v>80</v>
      </c>
      <c r="J540" s="191"/>
      <c r="K540" s="191"/>
      <c r="L540" s="318"/>
      <c r="M540" s="318"/>
      <c r="N540" s="318"/>
      <c r="O540" s="319"/>
      <c r="P540" s="274"/>
      <c r="Q540" s="274"/>
      <c r="R540" s="260"/>
      <c r="S540" s="260"/>
      <c r="T540" s="260"/>
      <c r="U540" s="260"/>
      <c r="V540" s="260"/>
      <c r="W540" s="274"/>
      <c r="X540" s="242"/>
      <c r="Y540" s="242"/>
      <c r="Z540" s="204"/>
    </row>
    <row r="541" spans="2:28" ht="15" hidden="1">
      <c r="I541" s="276" t="s">
        <v>447</v>
      </c>
      <c r="J541" s="276"/>
      <c r="K541" s="276"/>
      <c r="L541" s="284" t="s">
        <v>25</v>
      </c>
      <c r="M541" s="284" t="s">
        <v>44</v>
      </c>
      <c r="N541" s="284" t="s">
        <v>55</v>
      </c>
      <c r="O541" s="284" t="s">
        <v>70</v>
      </c>
      <c r="P541" s="284" t="s">
        <v>72</v>
      </c>
      <c r="Q541" s="276">
        <v>2005</v>
      </c>
      <c r="R541" s="276">
        <v>2006</v>
      </c>
      <c r="S541" s="276">
        <v>2007</v>
      </c>
      <c r="T541" s="276">
        <v>2008</v>
      </c>
      <c r="U541" s="276">
        <v>2009</v>
      </c>
      <c r="V541" s="276">
        <v>2010</v>
      </c>
      <c r="W541" s="276">
        <v>2011</v>
      </c>
      <c r="X541" s="242"/>
      <c r="Y541" s="242"/>
      <c r="Z541" s="204"/>
    </row>
    <row r="542" spans="2:28" hidden="1">
      <c r="I542" s="190" t="s">
        <v>354</v>
      </c>
      <c r="J542" s="190"/>
      <c r="K542" s="190"/>
      <c r="L542" s="274"/>
      <c r="M542" s="274"/>
      <c r="N542" s="274"/>
      <c r="O542" s="274"/>
      <c r="P542" s="274"/>
      <c r="Q542" s="274"/>
      <c r="R542" s="274"/>
      <c r="S542" s="274"/>
      <c r="T542" s="274"/>
      <c r="U542" s="274"/>
      <c r="V542" s="274">
        <v>24952</v>
      </c>
      <c r="W542" s="274">
        <f>1135+12398</f>
        <v>13533</v>
      </c>
      <c r="AA542" s="368"/>
      <c r="AB542" s="369"/>
    </row>
    <row r="543" spans="2:28" hidden="1">
      <c r="I543" s="190" t="s">
        <v>355</v>
      </c>
      <c r="J543" s="190"/>
      <c r="K543" s="190"/>
      <c r="L543" s="274"/>
      <c r="M543" s="274"/>
      <c r="N543" s="274"/>
      <c r="O543" s="274"/>
      <c r="P543" s="274"/>
      <c r="Q543" s="274"/>
      <c r="R543" s="274"/>
      <c r="S543" s="274"/>
      <c r="T543" s="274"/>
      <c r="U543" s="274"/>
      <c r="V543" s="274">
        <f>V466</f>
        <v>26</v>
      </c>
      <c r="W543" s="274">
        <f>W466</f>
        <v>28</v>
      </c>
      <c r="AB543" s="369"/>
    </row>
    <row r="544" spans="2:28" hidden="1">
      <c r="I544" s="190" t="s">
        <v>402</v>
      </c>
      <c r="J544" s="190"/>
      <c r="K544" s="190"/>
      <c r="L544" s="274"/>
      <c r="M544" s="274"/>
      <c r="N544" s="274"/>
      <c r="O544" s="274"/>
      <c r="P544" s="274"/>
      <c r="Q544" s="274"/>
      <c r="R544" s="274"/>
      <c r="S544" s="274"/>
      <c r="T544" s="274"/>
      <c r="U544" s="274"/>
      <c r="V544" s="274">
        <f>V467</f>
        <v>13</v>
      </c>
      <c r="W544" s="274">
        <f>W467</f>
        <v>15</v>
      </c>
      <c r="AB544" s="369"/>
    </row>
    <row r="545" spans="2:28" hidden="1">
      <c r="I545" s="190" t="s">
        <v>356</v>
      </c>
      <c r="J545" s="190"/>
      <c r="K545" s="190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>
        <f>V542/V543</f>
        <v>959.69230769230774</v>
      </c>
      <c r="W545" s="305">
        <f>W542/W543</f>
        <v>483.32142857142856</v>
      </c>
      <c r="AB545" s="204"/>
    </row>
    <row r="546" spans="2:28" ht="15" hidden="1">
      <c r="I546" s="190" t="s">
        <v>364</v>
      </c>
      <c r="J546" s="190"/>
      <c r="K546" s="190"/>
      <c r="L546" s="274"/>
      <c r="M546" s="260"/>
      <c r="N546" s="260"/>
      <c r="O546" s="300"/>
      <c r="P546" s="300"/>
      <c r="Q546" s="300"/>
      <c r="R546" s="300"/>
      <c r="S546" s="300"/>
      <c r="T546" s="300"/>
      <c r="U546" s="300"/>
      <c r="V546" s="300">
        <f>V542/V544</f>
        <v>1919.3846153846155</v>
      </c>
      <c r="W546" s="300">
        <f>W542/W544</f>
        <v>902.2</v>
      </c>
      <c r="AA546" s="370"/>
      <c r="AB546" s="204"/>
    </row>
    <row r="547" spans="2:28" s="204" customFormat="1" ht="15" hidden="1">
      <c r="I547" s="214" t="s">
        <v>497</v>
      </c>
      <c r="J547" s="214"/>
      <c r="K547" s="214"/>
      <c r="L547" s="214"/>
      <c r="M547" s="205"/>
      <c r="N547" s="205"/>
      <c r="O547" s="242"/>
      <c r="P547" s="242"/>
      <c r="Q547" s="242"/>
      <c r="R547" s="242"/>
      <c r="S547" s="242"/>
      <c r="T547" s="242"/>
      <c r="U547" s="242"/>
      <c r="V547" s="242"/>
      <c r="W547" s="371" t="s">
        <v>460</v>
      </c>
    </row>
    <row r="548" spans="2:28" ht="15" hidden="1">
      <c r="I548" s="190"/>
      <c r="J548" s="190"/>
      <c r="K548" s="190"/>
      <c r="L548" s="274"/>
      <c r="M548" s="260"/>
      <c r="N548" s="260"/>
      <c r="O548" s="300"/>
      <c r="P548" s="300"/>
      <c r="Q548" s="300"/>
      <c r="R548" s="276">
        <v>2006</v>
      </c>
      <c r="S548" s="276">
        <v>2007</v>
      </c>
      <c r="T548" s="276">
        <v>2008</v>
      </c>
      <c r="U548" s="276">
        <v>2009</v>
      </c>
      <c r="V548" s="276">
        <v>2010</v>
      </c>
      <c r="W548" s="285">
        <v>2011</v>
      </c>
      <c r="X548" s="286">
        <v>2012</v>
      </c>
      <c r="Y548" s="286">
        <v>2013</v>
      </c>
      <c r="Z548" s="286">
        <v>2014</v>
      </c>
      <c r="AA548" s="286">
        <v>2015</v>
      </c>
    </row>
    <row r="549" spans="2:28" hidden="1">
      <c r="I549" s="190" t="s">
        <v>436</v>
      </c>
      <c r="J549" s="190"/>
      <c r="K549" s="190"/>
      <c r="L549" s="274"/>
      <c r="M549" s="260"/>
      <c r="N549" s="260"/>
      <c r="O549" s="300"/>
      <c r="P549" s="300"/>
      <c r="Q549" s="300"/>
      <c r="R549" s="274">
        <v>19626.240000000002</v>
      </c>
      <c r="S549" s="274">
        <v>30798.892</v>
      </c>
      <c r="T549" s="274">
        <v>7528.22</v>
      </c>
      <c r="U549" s="274">
        <v>9920.4775200000004</v>
      </c>
      <c r="V549" s="274">
        <v>17359.068149999999</v>
      </c>
      <c r="W549" s="274">
        <v>13262.276089999999</v>
      </c>
      <c r="X549" s="274">
        <v>15668</v>
      </c>
      <c r="AA549" s="204"/>
    </row>
    <row r="550" spans="2:28" hidden="1">
      <c r="I550" s="190" t="s">
        <v>435</v>
      </c>
      <c r="J550" s="190"/>
      <c r="K550" s="190"/>
      <c r="L550" s="274"/>
      <c r="M550" s="260"/>
      <c r="N550" s="260"/>
      <c r="O550" s="300"/>
      <c r="P550" s="300"/>
      <c r="Q550" s="300"/>
      <c r="R550" s="274">
        <v>8845.6382400000002</v>
      </c>
      <c r="S550" s="274">
        <v>15702.658429999999</v>
      </c>
      <c r="T550" s="274">
        <v>5042.73333</v>
      </c>
      <c r="U550" s="274">
        <v>25315.209760000002</v>
      </c>
      <c r="V550" s="274">
        <v>5176.8549999999996</v>
      </c>
      <c r="W550" s="274">
        <v>12331.06531</v>
      </c>
      <c r="X550" s="274">
        <v>3280.5</v>
      </c>
      <c r="AA550" s="204"/>
    </row>
    <row r="551" spans="2:28" hidden="1">
      <c r="I551" s="190" t="s">
        <v>437</v>
      </c>
      <c r="J551" s="190"/>
      <c r="K551" s="190"/>
      <c r="L551" s="274"/>
      <c r="M551" s="260"/>
      <c r="N551" s="260"/>
      <c r="O551" s="300"/>
      <c r="P551" s="300"/>
      <c r="Q551" s="300"/>
      <c r="R551" s="274">
        <v>462.82</v>
      </c>
      <c r="S551" s="274">
        <v>2201.4229999999998</v>
      </c>
      <c r="T551" s="274">
        <v>2881.056</v>
      </c>
      <c r="U551" s="274">
        <v>2825.98</v>
      </c>
      <c r="V551" s="274">
        <v>17111.766</v>
      </c>
      <c r="W551" s="274">
        <v>25522</v>
      </c>
      <c r="X551" s="274">
        <v>41930.5</v>
      </c>
      <c r="AA551" s="204"/>
    </row>
    <row r="552" spans="2:28" s="204" customFormat="1" hidden="1">
      <c r="I552" s="264" t="s">
        <v>21</v>
      </c>
      <c r="J552" s="264"/>
      <c r="K552" s="264"/>
      <c r="L552" s="353"/>
      <c r="M552" s="263"/>
      <c r="N552" s="263"/>
      <c r="O552" s="372"/>
      <c r="P552" s="372"/>
      <c r="Q552" s="372"/>
      <c r="R552" s="353">
        <f t="shared" ref="R552:U552" si="62">SUM(R549:R551)</f>
        <v>28934.698240000002</v>
      </c>
      <c r="S552" s="353">
        <f t="shared" si="62"/>
        <v>48702.973430000005</v>
      </c>
      <c r="T552" s="353">
        <f t="shared" si="62"/>
        <v>15452.009330000001</v>
      </c>
      <c r="U552" s="353">
        <f t="shared" si="62"/>
        <v>38061.667280000001</v>
      </c>
      <c r="V552" s="353">
        <f>SUM(V549:V551)</f>
        <v>39647.689149999998</v>
      </c>
      <c r="W552" s="353">
        <f>SUM(W549:W551)</f>
        <v>51115.341399999998</v>
      </c>
      <c r="X552" s="353">
        <f>SUM(X549:X551)</f>
        <v>60879</v>
      </c>
    </row>
    <row r="553" spans="2:28" hidden="1">
      <c r="B553" s="362"/>
      <c r="C553" s="362"/>
      <c r="D553" s="362"/>
      <c r="E553" s="362"/>
      <c r="F553" s="362"/>
      <c r="G553" s="362"/>
      <c r="H553" s="362"/>
      <c r="I553" s="362"/>
      <c r="J553" s="363"/>
      <c r="O553" s="364"/>
      <c r="R553" s="365"/>
      <c r="T553" s="365"/>
      <c r="U553" s="203"/>
      <c r="V553" s="364"/>
      <c r="W553" s="364"/>
      <c r="X553" s="238"/>
    </row>
    <row r="554" spans="2:28" s="204" customFormat="1" ht="15" hidden="1">
      <c r="I554" s="373" t="s">
        <v>481</v>
      </c>
      <c r="J554" s="363"/>
      <c r="K554" s="363"/>
      <c r="L554" s="363"/>
      <c r="M554" s="363"/>
      <c r="N554" s="363"/>
      <c r="O554" s="363"/>
      <c r="P554" s="374"/>
      <c r="Q554" s="374"/>
      <c r="R554" s="375"/>
      <c r="S554" s="375"/>
      <c r="T554" s="375"/>
      <c r="U554" s="375"/>
      <c r="V554" s="375"/>
      <c r="W554" s="375"/>
      <c r="X554" s="375"/>
      <c r="Y554" s="375"/>
      <c r="Z554" s="376"/>
      <c r="AA554" s="377"/>
    </row>
    <row r="555" spans="2:28" ht="15" hidden="1">
      <c r="I555" s="264"/>
      <c r="J555" s="353"/>
      <c r="K555" s="353"/>
      <c r="L555" s="353"/>
      <c r="M555" s="353"/>
      <c r="N555" s="353"/>
      <c r="O555" s="353"/>
      <c r="P555" s="263"/>
      <c r="Q555" s="263"/>
      <c r="R555" s="372"/>
      <c r="S555" s="372"/>
      <c r="T555" s="372"/>
      <c r="U555" s="355"/>
      <c r="V555" s="355"/>
      <c r="W555" s="259">
        <v>2011</v>
      </c>
      <c r="X555" s="286">
        <v>2012</v>
      </c>
      <c r="Y555" s="286">
        <v>2013</v>
      </c>
      <c r="Z555" s="286">
        <v>2014</v>
      </c>
      <c r="AA555" s="286">
        <v>2015</v>
      </c>
      <c r="AB555" s="204"/>
    </row>
    <row r="556" spans="2:28" hidden="1">
      <c r="I556" s="264" t="s">
        <v>436</v>
      </c>
      <c r="J556" s="353"/>
      <c r="K556" s="353"/>
      <c r="L556" s="353"/>
      <c r="M556" s="353"/>
      <c r="N556" s="353"/>
      <c r="O556" s="353"/>
      <c r="P556" s="263"/>
      <c r="Q556" s="263"/>
      <c r="R556" s="372"/>
      <c r="S556" s="372"/>
      <c r="T556" s="372"/>
      <c r="U556" s="353"/>
      <c r="V556" s="353"/>
      <c r="W556" s="353">
        <v>800</v>
      </c>
      <c r="X556" s="353"/>
      <c r="Y556" s="353"/>
      <c r="Z556" s="353"/>
      <c r="AA556" s="353"/>
      <c r="AB556" s="204"/>
    </row>
    <row r="557" spans="2:28" hidden="1">
      <c r="I557" s="264" t="s">
        <v>435</v>
      </c>
      <c r="J557" s="353"/>
      <c r="K557" s="353"/>
      <c r="L557" s="353"/>
      <c r="M557" s="353"/>
      <c r="N557" s="353"/>
      <c r="O557" s="353"/>
      <c r="P557" s="263"/>
      <c r="Q557" s="263"/>
      <c r="R557" s="372"/>
      <c r="S557" s="372"/>
      <c r="T557" s="372"/>
      <c r="U557" s="353"/>
      <c r="V557" s="353"/>
      <c r="W557" s="353">
        <v>9443</v>
      </c>
      <c r="X557" s="353"/>
      <c r="Y557" s="353"/>
      <c r="Z557" s="353"/>
      <c r="AA557" s="353"/>
      <c r="AB557" s="204"/>
    </row>
    <row r="558" spans="2:28" hidden="1">
      <c r="I558" s="264" t="s">
        <v>437</v>
      </c>
      <c r="J558" s="353"/>
      <c r="K558" s="353"/>
      <c r="L558" s="353"/>
      <c r="M558" s="353"/>
      <c r="N558" s="353"/>
      <c r="O558" s="353"/>
      <c r="P558" s="263"/>
      <c r="Q558" s="263"/>
      <c r="R558" s="372"/>
      <c r="S558" s="372"/>
      <c r="T558" s="372"/>
      <c r="U558" s="353"/>
      <c r="V558" s="353"/>
      <c r="W558" s="353">
        <v>2516</v>
      </c>
      <c r="X558" s="353"/>
      <c r="Y558" s="353"/>
      <c r="Z558" s="353"/>
      <c r="AA558" s="353"/>
      <c r="AB558" s="204"/>
    </row>
    <row r="559" spans="2:28" s="204" customFormat="1" ht="15" hidden="1">
      <c r="I559" s="264" t="s">
        <v>21</v>
      </c>
      <c r="J559" s="353"/>
      <c r="K559" s="353"/>
      <c r="L559" s="353"/>
      <c r="M559" s="353"/>
      <c r="N559" s="353"/>
      <c r="O559" s="353"/>
      <c r="P559" s="263"/>
      <c r="Q559" s="263"/>
      <c r="R559" s="372"/>
      <c r="S559" s="372"/>
      <c r="T559" s="372"/>
      <c r="U559" s="372"/>
      <c r="V559" s="372"/>
      <c r="W559" s="378">
        <f>SUM(W556:W558)</f>
        <v>12759</v>
      </c>
      <c r="X559" s="372"/>
      <c r="Y559" s="379"/>
      <c r="Z559" s="264"/>
      <c r="AA559" s="264"/>
    </row>
    <row r="560" spans="2:28" s="204" customFormat="1" ht="19.5" hidden="1" customHeight="1">
      <c r="I560" s="190" t="s">
        <v>417</v>
      </c>
      <c r="J560" s="214"/>
      <c r="K560" s="214"/>
      <c r="L560" s="214"/>
      <c r="M560" s="214"/>
      <c r="N560" s="214"/>
      <c r="O560" s="214"/>
      <c r="P560" s="205"/>
      <c r="Q560" s="205"/>
      <c r="R560" s="242"/>
      <c r="S560" s="242"/>
      <c r="T560" s="242"/>
      <c r="U560" s="242"/>
      <c r="V560" s="242"/>
      <c r="W560" s="242"/>
      <c r="Y560" s="321"/>
    </row>
    <row r="561" spans="9:28" s="204" customFormat="1" ht="15" hidden="1">
      <c r="I561" s="190" t="s">
        <v>418</v>
      </c>
      <c r="J561" s="214"/>
      <c r="K561" s="214"/>
      <c r="L561" s="214"/>
      <c r="M561" s="214"/>
      <c r="N561" s="214"/>
      <c r="O561" s="214"/>
      <c r="P561" s="205"/>
      <c r="Q561" s="205"/>
      <c r="R561" s="242"/>
      <c r="S561" s="242"/>
      <c r="T561" s="242"/>
      <c r="U561" s="242"/>
      <c r="V561" s="242"/>
      <c r="W561" s="242"/>
      <c r="AA561" s="242"/>
      <c r="AB561" s="380"/>
    </row>
    <row r="562" spans="9:28" s="204" customFormat="1" ht="15" hidden="1">
      <c r="I562" s="190" t="s">
        <v>5</v>
      </c>
      <c r="J562" s="214"/>
      <c r="K562" s="214"/>
      <c r="L562" s="214"/>
      <c r="M562" s="214"/>
      <c r="N562" s="214"/>
      <c r="O562" s="214"/>
      <c r="P562" s="205"/>
      <c r="Q562" s="205"/>
      <c r="R562" s="242"/>
      <c r="S562" s="242"/>
      <c r="T562" s="242"/>
      <c r="U562" s="242"/>
      <c r="V562" s="242"/>
      <c r="W562" s="242"/>
      <c r="AA562" s="242"/>
      <c r="AB562" s="321"/>
    </row>
    <row r="563" spans="9:28" ht="15" hidden="1">
      <c r="I563" s="190"/>
      <c r="U563" s="203"/>
      <c r="V563" s="203"/>
      <c r="W563" s="203"/>
      <c r="X563" s="202"/>
      <c r="Y563" s="370"/>
      <c r="Z563" s="229"/>
      <c r="AA563" s="204"/>
      <c r="AB563" s="204"/>
    </row>
    <row r="564" spans="9:28" ht="15" hidden="1">
      <c r="I564" s="190"/>
      <c r="U564" s="203"/>
      <c r="V564" s="203"/>
      <c r="W564" s="203"/>
      <c r="X564" s="202"/>
      <c r="Y564" s="370"/>
      <c r="Z564" s="229"/>
      <c r="AA564" s="204"/>
      <c r="AB564" s="204"/>
    </row>
    <row r="565" spans="9:28" s="204" customFormat="1" hidden="1">
      <c r="J565" s="214"/>
      <c r="K565" s="214"/>
      <c r="L565" s="214"/>
      <c r="M565" s="214"/>
      <c r="N565" s="214"/>
      <c r="O565" s="214"/>
      <c r="P565" s="214"/>
      <c r="Q565" s="214"/>
      <c r="R565" s="214"/>
      <c r="S565" s="214"/>
      <c r="T565" s="214"/>
      <c r="U565" s="214"/>
      <c r="V565" s="229"/>
      <c r="W565" s="229"/>
      <c r="Z565" s="229"/>
    </row>
    <row r="566" spans="9:28" s="204" customFormat="1" ht="15" hidden="1">
      <c r="I566" s="362"/>
      <c r="J566" s="381"/>
      <c r="K566" s="381"/>
      <c r="L566" s="381"/>
      <c r="M566" s="381"/>
      <c r="N566" s="381"/>
      <c r="O566" s="381"/>
      <c r="P566" s="381"/>
      <c r="Q566" s="381"/>
      <c r="R566" s="381"/>
      <c r="S566" s="381"/>
      <c r="T566" s="381"/>
      <c r="U566" s="381"/>
      <c r="V566" s="381"/>
      <c r="W566" s="381"/>
      <c r="Z566" s="229"/>
      <c r="AA566" s="382"/>
    </row>
    <row r="567" spans="9:28" s="204" customFormat="1" ht="12.75" hidden="1" customHeight="1">
      <c r="I567" s="373" t="s">
        <v>448</v>
      </c>
      <c r="J567" s="275" t="s">
        <v>2</v>
      </c>
      <c r="K567" s="275" t="s">
        <v>22</v>
      </c>
      <c r="L567" s="275" t="s">
        <v>25</v>
      </c>
      <c r="M567" s="275" t="s">
        <v>44</v>
      </c>
      <c r="N567" s="275" t="s">
        <v>55</v>
      </c>
      <c r="O567" s="276" t="s">
        <v>70</v>
      </c>
      <c r="P567" s="276" t="s">
        <v>72</v>
      </c>
      <c r="Q567" s="276">
        <v>2005</v>
      </c>
      <c r="R567" s="275" t="s">
        <v>83</v>
      </c>
      <c r="S567" s="275">
        <v>2007</v>
      </c>
      <c r="T567" s="275">
        <v>2008</v>
      </c>
      <c r="U567" s="276">
        <v>2009</v>
      </c>
      <c r="V567" s="276">
        <v>2010</v>
      </c>
      <c r="W567" s="276"/>
      <c r="Z567" s="383"/>
      <c r="AA567" s="208"/>
    </row>
    <row r="568" spans="9:28" s="204" customFormat="1" hidden="1">
      <c r="I568" s="190" t="s">
        <v>438</v>
      </c>
      <c r="J568" s="274"/>
      <c r="K568" s="274"/>
      <c r="L568" s="274"/>
      <c r="M568" s="274"/>
      <c r="N568" s="274"/>
      <c r="O568" s="274"/>
      <c r="P568" s="274"/>
      <c r="Q568" s="274"/>
      <c r="R568" s="274"/>
      <c r="S568" s="274"/>
      <c r="T568" s="305"/>
      <c r="U568" s="305"/>
      <c r="V568" s="305"/>
      <c r="W568" s="305"/>
      <c r="Z568" s="229"/>
    </row>
    <row r="569" spans="9:28" s="204" customFormat="1" hidden="1">
      <c r="I569" s="190" t="s">
        <v>227</v>
      </c>
      <c r="J569" s="274"/>
      <c r="K569" s="274"/>
      <c r="L569" s="274"/>
      <c r="M569" s="274"/>
      <c r="N569" s="274"/>
      <c r="O569" s="274"/>
      <c r="P569" s="274"/>
      <c r="Q569" s="274"/>
      <c r="R569" s="274"/>
      <c r="S569" s="274"/>
      <c r="T569" s="305"/>
      <c r="U569" s="305"/>
      <c r="V569" s="305">
        <v>2829</v>
      </c>
      <c r="W569" s="305"/>
      <c r="Z569" s="229"/>
    </row>
    <row r="570" spans="9:28" s="204" customFormat="1" hidden="1">
      <c r="I570" s="190" t="s">
        <v>19</v>
      </c>
      <c r="J570" s="274"/>
      <c r="K570" s="274"/>
      <c r="L570" s="274"/>
      <c r="M570" s="274"/>
      <c r="N570" s="274"/>
      <c r="O570" s="274"/>
      <c r="P570" s="274"/>
      <c r="Q570" s="274"/>
      <c r="R570" s="274"/>
      <c r="S570" s="274"/>
      <c r="T570" s="305"/>
      <c r="U570" s="305"/>
      <c r="V570" s="305"/>
      <c r="W570" s="305"/>
      <c r="Z570" s="229"/>
    </row>
    <row r="571" spans="9:28" s="204" customFormat="1" ht="15" hidden="1">
      <c r="I571" s="190" t="s">
        <v>48</v>
      </c>
      <c r="J571" s="288"/>
      <c r="K571" s="288"/>
      <c r="L571" s="288"/>
      <c r="M571" s="288"/>
      <c r="N571" s="288"/>
      <c r="O571" s="288"/>
      <c r="P571" s="288"/>
      <c r="Q571" s="288"/>
      <c r="R571" s="288"/>
      <c r="S571" s="288"/>
      <c r="T571" s="288"/>
      <c r="U571" s="288"/>
      <c r="V571" s="288"/>
      <c r="W571" s="288"/>
      <c r="Z571" s="229"/>
    </row>
    <row r="572" spans="9:28" s="204" customFormat="1" ht="15" hidden="1">
      <c r="J572" s="322"/>
      <c r="K572" s="322"/>
      <c r="L572" s="322"/>
      <c r="M572" s="322"/>
      <c r="N572" s="322"/>
      <c r="O572" s="322"/>
      <c r="P572" s="322"/>
      <c r="Q572" s="322"/>
      <c r="R572" s="322"/>
      <c r="S572" s="214"/>
      <c r="T572" s="214"/>
      <c r="U572" s="214"/>
      <c r="V572" s="271"/>
      <c r="W572" s="229"/>
      <c r="Z572" s="229"/>
    </row>
    <row r="573" spans="9:28" s="204" customFormat="1" ht="15" hidden="1">
      <c r="I573" s="191" t="s">
        <v>450</v>
      </c>
      <c r="J573" s="275" t="s">
        <v>2</v>
      </c>
      <c r="K573" s="275" t="s">
        <v>22</v>
      </c>
      <c r="L573" s="275" t="s">
        <v>25</v>
      </c>
      <c r="M573" s="275" t="s">
        <v>44</v>
      </c>
      <c r="N573" s="275" t="s">
        <v>55</v>
      </c>
      <c r="O573" s="276" t="s">
        <v>70</v>
      </c>
      <c r="P573" s="276" t="s">
        <v>72</v>
      </c>
      <c r="Q573" s="276">
        <v>2005</v>
      </c>
      <c r="R573" s="275" t="s">
        <v>83</v>
      </c>
      <c r="S573" s="275">
        <v>2007</v>
      </c>
      <c r="T573" s="285">
        <v>2008</v>
      </c>
      <c r="U573" s="285">
        <v>2009</v>
      </c>
      <c r="V573" s="285">
        <v>2010</v>
      </c>
      <c r="W573" s="285">
        <v>2011</v>
      </c>
      <c r="X573" s="286">
        <v>2012</v>
      </c>
      <c r="Y573" s="286">
        <v>2013</v>
      </c>
      <c r="Z573" s="286">
        <v>2014</v>
      </c>
      <c r="AA573" s="286">
        <v>2015</v>
      </c>
    </row>
    <row r="574" spans="9:28" s="204" customFormat="1" hidden="1">
      <c r="I574" s="190" t="s">
        <v>438</v>
      </c>
      <c r="J574" s="305">
        <f t="shared" ref="J574:P574" si="63">J384/$X$579</f>
        <v>1.609</v>
      </c>
      <c r="K574" s="305">
        <f t="shared" si="63"/>
        <v>2.3290000000000002</v>
      </c>
      <c r="L574" s="305">
        <f t="shared" si="63"/>
        <v>5.2534000000000001</v>
      </c>
      <c r="M574" s="305">
        <f t="shared" si="63"/>
        <v>5.7679</v>
      </c>
      <c r="N574" s="305">
        <f t="shared" si="63"/>
        <v>5.67</v>
      </c>
      <c r="O574" s="305">
        <f t="shared" si="63"/>
        <v>5.9954000000000001</v>
      </c>
      <c r="P574" s="274">
        <f t="shared" si="63"/>
        <v>8.5346000000000011</v>
      </c>
      <c r="Q574" s="274" t="e">
        <f>#REF!/$X$579</f>
        <v>#REF!</v>
      </c>
      <c r="R574" s="300" t="e">
        <f>#REF!/$X$579</f>
        <v>#REF!</v>
      </c>
      <c r="S574" s="300" t="e">
        <f>#REF!/$X$579</f>
        <v>#REF!</v>
      </c>
      <c r="T574" s="300" t="e">
        <f>#REF!/$X$579</f>
        <v>#REF!</v>
      </c>
      <c r="U574" s="300">
        <f>Q384/$X$579</f>
        <v>41.354199999999999</v>
      </c>
      <c r="V574" s="300" t="e">
        <f>#REF!/$X$579</f>
        <v>#REF!</v>
      </c>
      <c r="W574" s="300" t="e">
        <f>#REF!/$X$579</f>
        <v>#REF!</v>
      </c>
      <c r="X574" s="300"/>
      <c r="Y574" s="300"/>
      <c r="Z574" s="300"/>
      <c r="AA574" s="300"/>
    </row>
    <row r="575" spans="9:28" s="204" customFormat="1" hidden="1">
      <c r="I575" s="190" t="s">
        <v>227</v>
      </c>
      <c r="J575" s="305">
        <f t="shared" ref="J575:P575" si="64">J385/$X$579</f>
        <v>3.4289999999999998</v>
      </c>
      <c r="K575" s="305">
        <f t="shared" si="64"/>
        <v>5.5679999999999996</v>
      </c>
      <c r="L575" s="305">
        <f t="shared" si="64"/>
        <v>8.0882000000000005</v>
      </c>
      <c r="M575" s="305">
        <f t="shared" si="64"/>
        <v>9.2074999999999996</v>
      </c>
      <c r="N575" s="305">
        <f t="shared" si="64"/>
        <v>11.208</v>
      </c>
      <c r="O575" s="305">
        <f t="shared" si="64"/>
        <v>14.975626119999999</v>
      </c>
      <c r="P575" s="274">
        <f t="shared" si="64"/>
        <v>12.625699999999998</v>
      </c>
      <c r="Q575" s="274" t="e">
        <f>#REF!/$X$579</f>
        <v>#REF!</v>
      </c>
      <c r="R575" s="300" t="e">
        <f>#REF!/$X$579</f>
        <v>#REF!</v>
      </c>
      <c r="S575" s="300" t="e">
        <f>#REF!/$X$579</f>
        <v>#REF!</v>
      </c>
      <c r="T575" s="300" t="e">
        <f>#REF!/$X$579</f>
        <v>#REF!</v>
      </c>
      <c r="U575" s="300">
        <f>Q385/$X$579</f>
        <v>37.955940630000008</v>
      </c>
      <c r="V575" s="300" t="e">
        <f>#REF!/$X$579</f>
        <v>#REF!</v>
      </c>
      <c r="W575" s="300" t="e">
        <f>#REF!/$X$579</f>
        <v>#REF!</v>
      </c>
      <c r="X575" s="300"/>
      <c r="Y575" s="300"/>
      <c r="Z575" s="300"/>
      <c r="AA575" s="300"/>
    </row>
    <row r="576" spans="9:28" s="204" customFormat="1" hidden="1">
      <c r="I576" s="190" t="s">
        <v>19</v>
      </c>
      <c r="J576" s="305">
        <f t="shared" ref="J576:P576" si="65">J386/$X$579</f>
        <v>38.01</v>
      </c>
      <c r="K576" s="305">
        <f t="shared" si="65"/>
        <v>48.301000000000002</v>
      </c>
      <c r="L576" s="305">
        <f t="shared" si="65"/>
        <v>59.176000000000002</v>
      </c>
      <c r="M576" s="305">
        <f t="shared" si="65"/>
        <v>69.173699999999997</v>
      </c>
      <c r="N576" s="305">
        <f t="shared" si="65"/>
        <v>67.67</v>
      </c>
      <c r="O576" s="305">
        <f t="shared" si="65"/>
        <v>87.710999999999999</v>
      </c>
      <c r="P576" s="274">
        <f t="shared" si="65"/>
        <v>84.3018</v>
      </c>
      <c r="Q576" s="274" t="e">
        <f>#REF!/$X$579</f>
        <v>#REF!</v>
      </c>
      <c r="R576" s="300" t="e">
        <f>#REF!/$X$579</f>
        <v>#REF!</v>
      </c>
      <c r="S576" s="300" t="e">
        <f>#REF!/$X$579</f>
        <v>#REF!</v>
      </c>
      <c r="T576" s="300" t="e">
        <f>#REF!/$X$579</f>
        <v>#REF!</v>
      </c>
      <c r="U576" s="300">
        <f>Q386/$X$579</f>
        <v>128.80530000000002</v>
      </c>
      <c r="V576" s="300" t="e">
        <f>#REF!/$X$579</f>
        <v>#REF!</v>
      </c>
      <c r="W576" s="300" t="e">
        <f>#REF!/$X$579</f>
        <v>#REF!</v>
      </c>
      <c r="X576" s="300"/>
      <c r="Y576" s="300"/>
      <c r="Z576" s="300"/>
      <c r="AA576" s="300"/>
    </row>
    <row r="577" spans="9:31" s="204" customFormat="1" ht="15" hidden="1">
      <c r="I577" s="190" t="s">
        <v>21</v>
      </c>
      <c r="J577" s="335">
        <f>SUM(J574:J576)</f>
        <v>43.048000000000002</v>
      </c>
      <c r="K577" s="335">
        <f>SUM(K574:K576)</f>
        <v>56.198</v>
      </c>
      <c r="L577" s="335">
        <f>SUM(L574:L576)</f>
        <v>72.517600000000002</v>
      </c>
      <c r="M577" s="335">
        <f t="shared" ref="M577:R577" si="66">SUM(M574:M576)</f>
        <v>84.149100000000004</v>
      </c>
      <c r="N577" s="335">
        <f t="shared" si="66"/>
        <v>84.548000000000002</v>
      </c>
      <c r="O577" s="335">
        <f t="shared" si="66"/>
        <v>108.68202611999999</v>
      </c>
      <c r="P577" s="288">
        <f t="shared" si="66"/>
        <v>105.46209999999999</v>
      </c>
      <c r="Q577" s="288" t="e">
        <f t="shared" si="66"/>
        <v>#REF!</v>
      </c>
      <c r="R577" s="285" t="e">
        <f t="shared" si="66"/>
        <v>#REF!</v>
      </c>
      <c r="S577" s="285" t="e">
        <f>#REF!/$X$579</f>
        <v>#REF!</v>
      </c>
      <c r="T577" s="300" t="e">
        <f>SUM(T574:T576)</f>
        <v>#REF!</v>
      </c>
      <c r="U577" s="300">
        <f>SUM(U574:U576)</f>
        <v>208.11544063000002</v>
      </c>
      <c r="V577" s="300" t="e">
        <f>SUM(V574:V576)</f>
        <v>#REF!</v>
      </c>
      <c r="W577" s="300" t="e">
        <f>SUM(W574:W576)</f>
        <v>#REF!</v>
      </c>
      <c r="X577" s="300"/>
      <c r="Y577" s="300"/>
      <c r="Z577" s="300"/>
      <c r="AA577" s="300"/>
    </row>
    <row r="578" spans="9:31" s="204" customFormat="1" hidden="1">
      <c r="J578" s="214"/>
      <c r="K578" s="214"/>
      <c r="L578" s="214"/>
      <c r="M578" s="214"/>
      <c r="N578" s="214"/>
      <c r="O578" s="254"/>
      <c r="P578" s="254"/>
      <c r="Q578" s="254"/>
      <c r="R578" s="254"/>
      <c r="S578" s="254"/>
      <c r="T578" s="254"/>
      <c r="U578" s="214"/>
      <c r="V578" s="214"/>
      <c r="W578" s="214"/>
    </row>
    <row r="579" spans="9:31" s="204" customFormat="1" ht="15" hidden="1">
      <c r="I579" s="190" t="s">
        <v>449</v>
      </c>
      <c r="J579" s="245"/>
      <c r="K579" s="245"/>
      <c r="L579" s="245"/>
      <c r="M579" s="245"/>
      <c r="N579" s="245"/>
      <c r="O579" s="245"/>
      <c r="P579" s="245"/>
      <c r="Q579" s="245"/>
      <c r="R579" s="245"/>
      <c r="S579" s="245"/>
      <c r="T579" s="246"/>
      <c r="U579" s="246"/>
      <c r="V579" s="214"/>
      <c r="W579" s="214"/>
      <c r="X579" s="205">
        <v>1000</v>
      </c>
    </row>
    <row r="580" spans="9:31" s="204" customFormat="1" ht="15" hidden="1">
      <c r="J580" s="260">
        <v>2008</v>
      </c>
      <c r="K580" s="260">
        <v>2009</v>
      </c>
      <c r="L580" s="260">
        <v>2010</v>
      </c>
      <c r="M580" s="260">
        <v>2011</v>
      </c>
      <c r="N580" s="260">
        <v>2012</v>
      </c>
      <c r="O580" s="245"/>
      <c r="P580" s="245"/>
      <c r="Q580" s="245"/>
      <c r="R580" s="245"/>
      <c r="S580" s="384"/>
      <c r="T580" s="384"/>
      <c r="U580" s="214"/>
      <c r="V580" s="214"/>
    </row>
    <row r="581" spans="9:31" s="204" customFormat="1" ht="12.75" hidden="1" customHeight="1">
      <c r="I581" s="191" t="s">
        <v>68</v>
      </c>
      <c r="J581" s="277"/>
      <c r="K581" s="277"/>
      <c r="L581" s="277"/>
      <c r="M581" s="277"/>
      <c r="N581" s="277"/>
      <c r="O581" s="277"/>
      <c r="P581" s="260"/>
      <c r="Q581" s="205"/>
      <c r="R581" s="205"/>
      <c r="U581" s="214"/>
      <c r="V581" s="214"/>
    </row>
    <row r="582" spans="9:31" s="204" customFormat="1" ht="12.75" hidden="1" customHeight="1">
      <c r="I582" s="190"/>
      <c r="J582" s="275" t="s">
        <v>3</v>
      </c>
      <c r="K582" s="275" t="s">
        <v>0</v>
      </c>
      <c r="L582" s="275" t="s">
        <v>1</v>
      </c>
      <c r="M582" s="275" t="s">
        <v>22</v>
      </c>
      <c r="N582" s="275" t="s">
        <v>22</v>
      </c>
      <c r="O582" s="275" t="s">
        <v>44</v>
      </c>
      <c r="P582" s="276" t="s">
        <v>55</v>
      </c>
      <c r="Q582" s="205"/>
      <c r="R582" s="205"/>
      <c r="S582" s="205"/>
      <c r="T582" s="214"/>
      <c r="U582" s="214"/>
      <c r="V582" s="214"/>
    </row>
    <row r="583" spans="9:31" s="204" customFormat="1" ht="12.75" hidden="1" customHeight="1">
      <c r="I583" s="189" t="s">
        <v>26</v>
      </c>
      <c r="J583" s="274">
        <v>3199345.6</v>
      </c>
      <c r="K583" s="274">
        <v>6177733.7799999993</v>
      </c>
      <c r="L583" s="274">
        <v>11555435.34</v>
      </c>
      <c r="M583" s="274">
        <v>29109122.619999997</v>
      </c>
      <c r="N583" s="274">
        <v>29109122.619999997</v>
      </c>
      <c r="O583" s="274">
        <v>43833819</v>
      </c>
      <c r="P583" s="274">
        <v>48995078</v>
      </c>
      <c r="Q583" s="205"/>
      <c r="R583" s="205"/>
      <c r="S583" s="205"/>
      <c r="T583" s="214"/>
      <c r="U583" s="214"/>
      <c r="V583" s="214"/>
      <c r="AE583" s="229"/>
    </row>
    <row r="584" spans="9:31" s="204" customFormat="1" ht="12.75" hidden="1" customHeight="1">
      <c r="I584" s="190" t="s">
        <v>27</v>
      </c>
      <c r="J584" s="274">
        <v>739071.55</v>
      </c>
      <c r="K584" s="274">
        <v>1211336.8</v>
      </c>
      <c r="L584" s="274">
        <v>2183802.2400000002</v>
      </c>
      <c r="M584" s="274">
        <v>3046700.84</v>
      </c>
      <c r="N584" s="274">
        <v>3046700.84</v>
      </c>
      <c r="O584" s="274">
        <v>3655808</v>
      </c>
      <c r="P584" s="274">
        <v>3655808</v>
      </c>
      <c r="Q584" s="205"/>
      <c r="R584" s="205"/>
      <c r="S584" s="205"/>
      <c r="T584" s="214"/>
      <c r="U584" s="214"/>
      <c r="V584" s="214"/>
      <c r="AE584" s="229"/>
    </row>
    <row r="585" spans="9:31" s="204" customFormat="1" hidden="1">
      <c r="I585" s="190" t="s">
        <v>28</v>
      </c>
      <c r="J585" s="274">
        <v>2386407.04</v>
      </c>
      <c r="K585" s="274">
        <v>2841634.39</v>
      </c>
      <c r="L585" s="274">
        <v>3982788.54</v>
      </c>
      <c r="M585" s="274">
        <v>7004902.1691129999</v>
      </c>
      <c r="N585" s="274">
        <v>7004902.1691129999</v>
      </c>
      <c r="O585" s="274">
        <v>10686339.27</v>
      </c>
      <c r="P585" s="274">
        <v>10740753</v>
      </c>
      <c r="Q585" s="205"/>
      <c r="R585" s="205"/>
      <c r="S585" s="205"/>
      <c r="T585" s="214"/>
      <c r="U585" s="214"/>
      <c r="V585" s="214"/>
      <c r="AE585" s="229"/>
    </row>
    <row r="586" spans="9:31" s="204" customFormat="1" hidden="1">
      <c r="I586" s="190" t="s">
        <v>29</v>
      </c>
      <c r="J586" s="274">
        <v>217175.81</v>
      </c>
      <c r="K586" s="274">
        <v>4000</v>
      </c>
      <c r="L586" s="274">
        <v>773227.35</v>
      </c>
      <c r="M586" s="274">
        <v>1525315.03</v>
      </c>
      <c r="N586" s="274">
        <v>1525315.03</v>
      </c>
      <c r="O586" s="274">
        <v>1278273</v>
      </c>
      <c r="P586" s="274">
        <v>1278273</v>
      </c>
      <c r="Q586" s="205"/>
      <c r="R586" s="205"/>
      <c r="S586" s="205"/>
      <c r="T586" s="214"/>
      <c r="U586" s="214"/>
      <c r="V586" s="214"/>
      <c r="AE586" s="229"/>
    </row>
    <row r="587" spans="9:31" s="204" customFormat="1" ht="15" hidden="1">
      <c r="I587" s="190"/>
      <c r="J587" s="288">
        <v>6542000</v>
      </c>
      <c r="K587" s="288">
        <v>10234704.969999999</v>
      </c>
      <c r="L587" s="288">
        <v>18495253.470000003</v>
      </c>
      <c r="M587" s="288">
        <v>40686040.659112997</v>
      </c>
      <c r="N587" s="288">
        <v>40686040.659112997</v>
      </c>
      <c r="O587" s="288">
        <v>59454239.269999996</v>
      </c>
      <c r="P587" s="288">
        <v>64669912</v>
      </c>
      <c r="Q587" s="205"/>
      <c r="R587" s="205"/>
      <c r="S587" s="205"/>
      <c r="T587" s="214"/>
      <c r="U587" s="214"/>
      <c r="V587" s="214"/>
      <c r="AE587" s="229"/>
    </row>
    <row r="588" spans="9:31" s="204" customFormat="1" hidden="1">
      <c r="I588" s="190" t="s">
        <v>30</v>
      </c>
      <c r="J588" s="274">
        <v>9758000</v>
      </c>
      <c r="K588" s="274">
        <v>10054682.719999999</v>
      </c>
      <c r="L588" s="274">
        <v>3516348.02</v>
      </c>
      <c r="M588" s="274">
        <v>5414745.25</v>
      </c>
      <c r="N588" s="274">
        <v>5414745.25</v>
      </c>
      <c r="O588" s="274">
        <v>6448600</v>
      </c>
      <c r="P588" s="274">
        <v>3000000</v>
      </c>
      <c r="Q588" s="205"/>
      <c r="R588" s="205"/>
      <c r="S588" s="205"/>
      <c r="T588" s="214"/>
      <c r="U588" s="214"/>
      <c r="V588" s="214"/>
      <c r="AE588" s="229"/>
    </row>
    <row r="589" spans="9:31" s="204" customFormat="1" hidden="1">
      <c r="I589" s="190" t="s">
        <v>31</v>
      </c>
      <c r="J589" s="274">
        <v>1100000</v>
      </c>
      <c r="K589" s="274">
        <v>5810679.3300000001</v>
      </c>
      <c r="L589" s="274">
        <v>6300152.9800000004</v>
      </c>
      <c r="M589" s="274">
        <v>3280221.93</v>
      </c>
      <c r="N589" s="274">
        <v>3280221.93</v>
      </c>
      <c r="O589" s="274">
        <v>3213737.48</v>
      </c>
      <c r="P589" s="274">
        <v>0</v>
      </c>
      <c r="Q589" s="214"/>
      <c r="R589" s="205"/>
      <c r="S589" s="205"/>
      <c r="T589" s="214"/>
      <c r="U589" s="214"/>
      <c r="V589" s="214"/>
      <c r="AE589" s="229"/>
    </row>
    <row r="590" spans="9:31" s="204" customFormat="1" hidden="1">
      <c r="I590" s="190"/>
      <c r="J590" s="274">
        <v>10858000</v>
      </c>
      <c r="K590" s="274">
        <v>15865362.049999999</v>
      </c>
      <c r="L590" s="274">
        <v>9816501</v>
      </c>
      <c r="M590" s="274">
        <v>8694967.1799999997</v>
      </c>
      <c r="N590" s="274">
        <v>8694967.1799999997</v>
      </c>
      <c r="O590" s="274">
        <v>9662337.4800000004</v>
      </c>
      <c r="P590" s="274">
        <v>3000000</v>
      </c>
      <c r="Q590" s="214"/>
      <c r="R590" s="205"/>
      <c r="S590" s="205"/>
      <c r="T590" s="214"/>
      <c r="U590" s="214"/>
      <c r="V590" s="214"/>
      <c r="AE590" s="229"/>
    </row>
    <row r="591" spans="9:31" s="204" customFormat="1" hidden="1">
      <c r="I591" s="190"/>
      <c r="J591" s="260"/>
      <c r="K591" s="260"/>
      <c r="L591" s="260"/>
      <c r="M591" s="260"/>
      <c r="N591" s="260"/>
      <c r="O591" s="274"/>
      <c r="P591" s="274"/>
      <c r="Q591" s="214"/>
      <c r="R591" s="205"/>
      <c r="S591" s="205"/>
      <c r="T591" s="214"/>
      <c r="U591" s="214"/>
      <c r="V591" s="214"/>
      <c r="AE591" s="229"/>
    </row>
    <row r="592" spans="9:31" s="204" customFormat="1" hidden="1">
      <c r="I592" s="190" t="s">
        <v>32</v>
      </c>
      <c r="J592" s="274">
        <v>17400000</v>
      </c>
      <c r="K592" s="274">
        <v>26100067.019999996</v>
      </c>
      <c r="L592" s="274">
        <v>28311754.470000003</v>
      </c>
      <c r="M592" s="274">
        <v>49381007.839112997</v>
      </c>
      <c r="N592" s="274">
        <v>49381007.839112997</v>
      </c>
      <c r="O592" s="274">
        <v>69116576.75</v>
      </c>
      <c r="P592" s="274">
        <v>67669912</v>
      </c>
      <c r="Q592" s="214"/>
      <c r="R592" s="205"/>
      <c r="S592" s="205"/>
      <c r="T592" s="214"/>
      <c r="U592" s="214"/>
      <c r="V592" s="214"/>
      <c r="AE592" s="229"/>
    </row>
    <row r="593" spans="1:31" s="204" customFormat="1" ht="15">
      <c r="I593" s="258"/>
      <c r="J593" s="205"/>
      <c r="K593" s="205"/>
      <c r="L593" s="205"/>
      <c r="M593" s="205"/>
      <c r="N593" s="205"/>
      <c r="O593" s="205"/>
      <c r="P593" s="205"/>
      <c r="Q593" s="205"/>
      <c r="R593" s="205"/>
      <c r="S593" s="205"/>
      <c r="T593" s="214"/>
      <c r="U593" s="214"/>
      <c r="V593" s="214"/>
      <c r="AE593" s="229"/>
    </row>
    <row r="594" spans="1:31" s="204" customFormat="1" ht="15">
      <c r="A594" s="190"/>
      <c r="B594" s="190"/>
      <c r="C594" s="190"/>
      <c r="D594" s="190"/>
      <c r="E594" s="190"/>
      <c r="F594" s="190"/>
      <c r="G594" s="190"/>
      <c r="H594" s="190"/>
      <c r="I594" s="191" t="s">
        <v>69</v>
      </c>
      <c r="J594" s="277"/>
      <c r="K594" s="277"/>
      <c r="L594" s="277"/>
      <c r="M594" s="277"/>
      <c r="N594" s="277"/>
      <c r="O594" s="277"/>
      <c r="P594" s="260">
        <v>1000</v>
      </c>
      <c r="Q594" s="260"/>
      <c r="R594" s="260"/>
      <c r="S594" s="260"/>
      <c r="T594" s="274"/>
      <c r="U594" s="274"/>
      <c r="V594" s="214"/>
      <c r="AE594" s="229"/>
    </row>
    <row r="595" spans="1:31" s="204" customFormat="1" ht="15">
      <c r="A595" s="190"/>
      <c r="B595" s="190"/>
      <c r="C595" s="190"/>
      <c r="D595" s="190"/>
      <c r="E595" s="190"/>
      <c r="F595" s="190"/>
      <c r="G595" s="190"/>
      <c r="H595" s="190"/>
      <c r="I595" s="190"/>
      <c r="J595" s="275" t="s">
        <v>3</v>
      </c>
      <c r="K595" s="275" t="s">
        <v>0</v>
      </c>
      <c r="L595" s="275" t="s">
        <v>1</v>
      </c>
      <c r="M595" s="275" t="s">
        <v>22</v>
      </c>
      <c r="N595" s="275" t="s">
        <v>22</v>
      </c>
      <c r="O595" s="275" t="s">
        <v>44</v>
      </c>
      <c r="P595" s="276" t="s">
        <v>55</v>
      </c>
      <c r="Q595" s="276" t="s">
        <v>70</v>
      </c>
      <c r="R595" s="276" t="s">
        <v>72</v>
      </c>
      <c r="S595" s="276" t="s">
        <v>82</v>
      </c>
      <c r="T595" s="276">
        <v>2006</v>
      </c>
      <c r="U595" s="276">
        <v>2007</v>
      </c>
      <c r="V595" s="276"/>
      <c r="W595" s="276"/>
      <c r="X595" s="276"/>
      <c r="Y595" s="385"/>
      <c r="AA595" s="201"/>
      <c r="AE595" s="229"/>
    </row>
    <row r="596" spans="1:31" s="204" customFormat="1">
      <c r="A596" s="190">
        <v>1000</v>
      </c>
      <c r="B596" s="190"/>
      <c r="C596" s="190"/>
      <c r="D596" s="190"/>
      <c r="E596" s="190"/>
      <c r="F596" s="190"/>
      <c r="G596" s="190"/>
      <c r="H596" s="190"/>
      <c r="I596" s="189" t="s">
        <v>49</v>
      </c>
      <c r="J596" s="274">
        <f>J583/$P$594</f>
        <v>3199.3456000000001</v>
      </c>
      <c r="K596" s="274">
        <v>6060</v>
      </c>
      <c r="L596" s="274">
        <v>11170.8</v>
      </c>
      <c r="M596" s="274">
        <v>28641.5</v>
      </c>
      <c r="N596" s="274">
        <v>28641.5</v>
      </c>
      <c r="O596" s="274">
        <v>43833.8</v>
      </c>
      <c r="P596" s="274">
        <v>48995.1</v>
      </c>
      <c r="Q596" s="274">
        <v>58895.21</v>
      </c>
      <c r="R596" s="274">
        <v>63797.2</v>
      </c>
      <c r="S596" s="274">
        <v>66925.604000000007</v>
      </c>
      <c r="T596" s="274">
        <v>73556.220629999996</v>
      </c>
      <c r="U596" s="323">
        <v>74490.5</v>
      </c>
      <c r="V596" s="309"/>
      <c r="W596" s="386"/>
      <c r="X596" s="386"/>
      <c r="Y596" s="387"/>
      <c r="AA596" s="238"/>
      <c r="AE596" s="229"/>
    </row>
    <row r="597" spans="1:31" s="204" customFormat="1">
      <c r="A597" s="190">
        <v>2000</v>
      </c>
      <c r="B597" s="190"/>
      <c r="C597" s="190"/>
      <c r="D597" s="190"/>
      <c r="E597" s="190"/>
      <c r="F597" s="190"/>
      <c r="G597" s="190"/>
      <c r="H597" s="190"/>
      <c r="I597" s="190" t="s">
        <v>50</v>
      </c>
      <c r="J597" s="274">
        <f>J584/$P$594</f>
        <v>739.07155</v>
      </c>
      <c r="K597" s="274">
        <v>1211</v>
      </c>
      <c r="L597" s="274">
        <v>1363.7</v>
      </c>
      <c r="M597" s="274">
        <v>3023.3</v>
      </c>
      <c r="N597" s="274">
        <v>3023.3</v>
      </c>
      <c r="O597" s="274">
        <v>3655.8</v>
      </c>
      <c r="P597" s="274">
        <v>3655.8</v>
      </c>
      <c r="Q597" s="274">
        <v>4655.78</v>
      </c>
      <c r="R597" s="274">
        <v>3972.9</v>
      </c>
      <c r="S597" s="274">
        <v>3925.9859999999999</v>
      </c>
      <c r="T597" s="323">
        <v>4499.0640000000003</v>
      </c>
      <c r="U597" s="323">
        <v>4499</v>
      </c>
      <c r="V597" s="309"/>
      <c r="W597" s="386"/>
      <c r="X597" s="386"/>
      <c r="Y597" s="387"/>
      <c r="AE597" s="229"/>
    </row>
    <row r="598" spans="1:31" s="204" customFormat="1">
      <c r="A598" s="190">
        <v>3000</v>
      </c>
      <c r="B598" s="190"/>
      <c r="C598" s="190"/>
      <c r="D598" s="190"/>
      <c r="E598" s="190"/>
      <c r="F598" s="190"/>
      <c r="G598" s="190"/>
      <c r="H598" s="190"/>
      <c r="I598" s="190" t="s">
        <v>51</v>
      </c>
      <c r="J598" s="274">
        <f>J585/$P$594</f>
        <v>2386.4070400000001</v>
      </c>
      <c r="K598" s="274">
        <v>2960</v>
      </c>
      <c r="L598" s="274">
        <v>3881.7</v>
      </c>
      <c r="M598" s="274">
        <v>7300.8</v>
      </c>
      <c r="N598" s="274">
        <v>7300.8</v>
      </c>
      <c r="O598" s="274">
        <v>10686.3</v>
      </c>
      <c r="P598" s="274">
        <v>10740.8</v>
      </c>
      <c r="Q598" s="274">
        <v>13740.72</v>
      </c>
      <c r="R598" s="274">
        <v>13456.4</v>
      </c>
      <c r="S598" s="274">
        <v>15734.402</v>
      </c>
      <c r="T598" s="323">
        <v>15634.4</v>
      </c>
      <c r="U598" s="323">
        <v>17438.8</v>
      </c>
      <c r="V598" s="309"/>
      <c r="W598" s="386"/>
      <c r="X598" s="386"/>
      <c r="Y598" s="387"/>
      <c r="AE598" s="229"/>
    </row>
    <row r="599" spans="1:31" s="204" customFormat="1">
      <c r="A599" s="190">
        <v>4000</v>
      </c>
      <c r="B599" s="190"/>
      <c r="C599" s="190"/>
      <c r="D599" s="190"/>
      <c r="E599" s="190"/>
      <c r="F599" s="190"/>
      <c r="G599" s="190"/>
      <c r="H599" s="190"/>
      <c r="I599" s="190" t="s">
        <v>52</v>
      </c>
      <c r="J599" s="274">
        <f>J586/$P$594</f>
        <v>217.17580999999998</v>
      </c>
      <c r="K599" s="274">
        <v>4</v>
      </c>
      <c r="L599" s="274">
        <v>773.2</v>
      </c>
      <c r="M599" s="274">
        <v>1528.1</v>
      </c>
      <c r="N599" s="274">
        <v>1528.1</v>
      </c>
      <c r="O599" s="274">
        <v>1278.2</v>
      </c>
      <c r="P599" s="274">
        <v>1278.2</v>
      </c>
      <c r="Q599" s="274">
        <v>1278.27</v>
      </c>
      <c r="R599" s="274">
        <v>975.3</v>
      </c>
      <c r="S599" s="274">
        <v>975.32100000000003</v>
      </c>
      <c r="T599" s="323">
        <v>975.3</v>
      </c>
      <c r="U599" s="323">
        <v>975.3</v>
      </c>
      <c r="V599" s="309"/>
      <c r="W599" s="386"/>
      <c r="X599" s="386"/>
      <c r="Y599" s="387"/>
      <c r="AE599" s="229"/>
    </row>
    <row r="600" spans="1:31" s="204" customFormat="1">
      <c r="A600" s="190">
        <v>5000</v>
      </c>
      <c r="B600" s="190"/>
      <c r="C600" s="190"/>
      <c r="D600" s="190"/>
      <c r="E600" s="190"/>
      <c r="F600" s="190"/>
      <c r="G600" s="190"/>
      <c r="H600" s="190"/>
      <c r="I600" s="190" t="s">
        <v>53</v>
      </c>
      <c r="J600" s="274">
        <f>J588/$P$594</f>
        <v>9758</v>
      </c>
      <c r="K600" s="274">
        <v>9854</v>
      </c>
      <c r="L600" s="274">
        <v>3299.3</v>
      </c>
      <c r="M600" s="274">
        <v>4000.1</v>
      </c>
      <c r="N600" s="274">
        <v>4000.1</v>
      </c>
      <c r="O600" s="274">
        <v>6448.6</v>
      </c>
      <c r="P600" s="274">
        <v>3000</v>
      </c>
      <c r="Q600" s="274">
        <v>4640.6000000000004</v>
      </c>
      <c r="R600" s="274">
        <v>1600</v>
      </c>
      <c r="S600" s="274">
        <v>750</v>
      </c>
      <c r="T600" s="323">
        <v>833.33299999999997</v>
      </c>
      <c r="U600" s="323">
        <v>8220</v>
      </c>
      <c r="V600" s="309"/>
      <c r="W600" s="386"/>
      <c r="X600" s="386"/>
      <c r="Y600" s="387"/>
      <c r="AE600" s="229"/>
    </row>
    <row r="601" spans="1:31" s="204" customFormat="1">
      <c r="A601" s="190">
        <v>6000</v>
      </c>
      <c r="B601" s="190"/>
      <c r="C601" s="190"/>
      <c r="D601" s="190"/>
      <c r="E601" s="190"/>
      <c r="F601" s="190"/>
      <c r="G601" s="190"/>
      <c r="H601" s="190"/>
      <c r="I601" s="190" t="s">
        <v>54</v>
      </c>
      <c r="J601" s="274">
        <f>J589/$P$594</f>
        <v>1100</v>
      </c>
      <c r="K601" s="274">
        <v>5000</v>
      </c>
      <c r="L601" s="274">
        <v>3000.2</v>
      </c>
      <c r="M601" s="274">
        <v>3280.7</v>
      </c>
      <c r="N601" s="274">
        <v>3280.7</v>
      </c>
      <c r="O601" s="274">
        <v>3213.7</v>
      </c>
      <c r="P601" s="274">
        <v>0</v>
      </c>
      <c r="Q601" s="274">
        <v>4500</v>
      </c>
      <c r="R601" s="274">
        <v>500</v>
      </c>
      <c r="S601" s="274">
        <v>0</v>
      </c>
      <c r="T601" s="323">
        <v>0</v>
      </c>
      <c r="U601" s="323">
        <v>2846.1</v>
      </c>
      <c r="V601" s="309"/>
      <c r="W601" s="386"/>
      <c r="X601" s="386"/>
      <c r="Y601" s="387"/>
      <c r="AE601" s="229"/>
    </row>
    <row r="602" spans="1:31" s="204" customFormat="1">
      <c r="A602" s="190"/>
      <c r="B602" s="190"/>
      <c r="C602" s="190"/>
      <c r="D602" s="190"/>
      <c r="E602" s="190"/>
      <c r="F602" s="190"/>
      <c r="G602" s="190"/>
      <c r="H602" s="190"/>
      <c r="I602" s="190" t="s">
        <v>48</v>
      </c>
      <c r="J602" s="274">
        <f t="shared" ref="J602:T602" si="67">SUM(J596:J601)</f>
        <v>17400</v>
      </c>
      <c r="K602" s="274">
        <f t="shared" si="67"/>
        <v>25089</v>
      </c>
      <c r="L602" s="274">
        <f>SUM(L596:L601)</f>
        <v>23488.9</v>
      </c>
      <c r="M602" s="274">
        <f t="shared" si="67"/>
        <v>47774.499999999993</v>
      </c>
      <c r="N602" s="274">
        <f t="shared" ref="N602" si="68">SUM(N596:N601)</f>
        <v>47774.499999999993</v>
      </c>
      <c r="O602" s="274">
        <f t="shared" si="67"/>
        <v>69116.400000000009</v>
      </c>
      <c r="P602" s="274">
        <f t="shared" si="67"/>
        <v>67669.899999999994</v>
      </c>
      <c r="Q602" s="274">
        <f t="shared" si="67"/>
        <v>87710.58</v>
      </c>
      <c r="R602" s="274">
        <f t="shared" si="67"/>
        <v>84301.799999999988</v>
      </c>
      <c r="S602" s="274">
        <f t="shared" si="67"/>
        <v>88311.313000000009</v>
      </c>
      <c r="T602" s="323">
        <f t="shared" si="67"/>
        <v>95498.31762999999</v>
      </c>
      <c r="U602" s="323">
        <f>SUM(U596:U601)</f>
        <v>108469.70000000001</v>
      </c>
      <c r="V602" s="309"/>
      <c r="W602" s="386"/>
      <c r="X602" s="386"/>
      <c r="Y602" s="387"/>
      <c r="AE602" s="229"/>
    </row>
    <row r="603" spans="1:31" s="204" customFormat="1">
      <c r="J603" s="214"/>
      <c r="K603" s="214"/>
      <c r="L603" s="214"/>
      <c r="M603" s="214"/>
      <c r="N603" s="214"/>
      <c r="O603" s="214"/>
      <c r="P603" s="214"/>
      <c r="Q603" s="214"/>
      <c r="R603" s="214"/>
      <c r="S603" s="214"/>
      <c r="T603" s="214"/>
      <c r="U603" s="388"/>
      <c r="V603" s="214"/>
      <c r="AE603" s="229"/>
    </row>
    <row r="604" spans="1:31" s="204" customFormat="1" ht="15">
      <c r="I604" s="258" t="s">
        <v>335</v>
      </c>
      <c r="J604" s="214"/>
      <c r="K604" s="214"/>
      <c r="L604" s="214"/>
      <c r="M604" s="214"/>
      <c r="N604" s="214"/>
      <c r="O604" s="214"/>
      <c r="P604" s="214"/>
      <c r="Q604" s="214"/>
      <c r="R604" s="214"/>
      <c r="S604" s="214"/>
      <c r="T604" s="214"/>
      <c r="U604" s="214"/>
      <c r="V604" s="214"/>
      <c r="AE604" s="229"/>
    </row>
    <row r="605" spans="1:31" s="204" customFormat="1" ht="15">
      <c r="J605" s="276" t="s">
        <v>3</v>
      </c>
      <c r="K605" s="276" t="s">
        <v>0</v>
      </c>
      <c r="L605" s="275" t="s">
        <v>1</v>
      </c>
      <c r="M605" s="276" t="s">
        <v>22</v>
      </c>
      <c r="N605" s="276" t="s">
        <v>22</v>
      </c>
      <c r="O605" s="275" t="s">
        <v>44</v>
      </c>
      <c r="P605" s="276" t="s">
        <v>55</v>
      </c>
      <c r="Q605" s="276" t="s">
        <v>70</v>
      </c>
      <c r="R605" s="276" t="s">
        <v>72</v>
      </c>
      <c r="S605" s="276" t="s">
        <v>82</v>
      </c>
      <c r="T605" s="276">
        <v>2006</v>
      </c>
      <c r="U605" s="276">
        <v>2007</v>
      </c>
      <c r="V605" s="385"/>
      <c r="X605" s="201"/>
      <c r="Y605" s="201"/>
      <c r="Z605" s="201"/>
      <c r="AA605" s="201"/>
      <c r="AE605" s="229"/>
    </row>
    <row r="606" spans="1:31" s="204" customFormat="1">
      <c r="A606" s="204">
        <v>1000</v>
      </c>
      <c r="I606" s="189" t="s">
        <v>49</v>
      </c>
      <c r="J606" s="305">
        <f t="shared" ref="J606:T606" si="69">J596/$P$594</f>
        <v>3.1993456</v>
      </c>
      <c r="K606" s="305">
        <f t="shared" si="69"/>
        <v>6.06</v>
      </c>
      <c r="L606" s="305">
        <f t="shared" si="69"/>
        <v>11.1708</v>
      </c>
      <c r="M606" s="305">
        <f t="shared" si="69"/>
        <v>28.641500000000001</v>
      </c>
      <c r="N606" s="305">
        <f t="shared" si="69"/>
        <v>28.641500000000001</v>
      </c>
      <c r="O606" s="305">
        <f t="shared" si="69"/>
        <v>43.833800000000004</v>
      </c>
      <c r="P606" s="305">
        <f t="shared" si="69"/>
        <v>48.995100000000001</v>
      </c>
      <c r="Q606" s="305">
        <f t="shared" si="69"/>
        <v>58.895209999999999</v>
      </c>
      <c r="R606" s="305">
        <f t="shared" si="69"/>
        <v>63.797199999999997</v>
      </c>
      <c r="S606" s="305">
        <f t="shared" si="69"/>
        <v>66.925604000000007</v>
      </c>
      <c r="T606" s="305">
        <f t="shared" si="69"/>
        <v>73.556220629999999</v>
      </c>
      <c r="U606" s="305">
        <f t="shared" ref="U606:U611" si="70">U596/$P$594</f>
        <v>74.490499999999997</v>
      </c>
      <c r="X606" s="238"/>
      <c r="Y606" s="238"/>
      <c r="Z606" s="238"/>
      <c r="AA606" s="238"/>
      <c r="AE606" s="229"/>
    </row>
    <row r="607" spans="1:31" s="204" customFormat="1">
      <c r="A607" s="204">
        <v>2000</v>
      </c>
      <c r="I607" s="190" t="s">
        <v>50</v>
      </c>
      <c r="J607" s="305">
        <f t="shared" ref="J607:T607" si="71">J597/$P$594</f>
        <v>0.73907155000000002</v>
      </c>
      <c r="K607" s="305">
        <f t="shared" si="71"/>
        <v>1.2110000000000001</v>
      </c>
      <c r="L607" s="305">
        <f t="shared" si="71"/>
        <v>1.3637000000000001</v>
      </c>
      <c r="M607" s="305">
        <f t="shared" si="71"/>
        <v>3.0233000000000003</v>
      </c>
      <c r="N607" s="305">
        <f t="shared" si="71"/>
        <v>3.0233000000000003</v>
      </c>
      <c r="O607" s="305">
        <f t="shared" si="71"/>
        <v>3.6558000000000002</v>
      </c>
      <c r="P607" s="305">
        <f t="shared" si="71"/>
        <v>3.6558000000000002</v>
      </c>
      <c r="Q607" s="305">
        <f t="shared" si="71"/>
        <v>4.65578</v>
      </c>
      <c r="R607" s="305">
        <f t="shared" si="71"/>
        <v>3.9729000000000001</v>
      </c>
      <c r="S607" s="305">
        <f t="shared" si="71"/>
        <v>3.925986</v>
      </c>
      <c r="T607" s="305">
        <f t="shared" si="71"/>
        <v>4.4990640000000006</v>
      </c>
      <c r="U607" s="305">
        <f t="shared" si="70"/>
        <v>4.4989999999999997</v>
      </c>
      <c r="AE607" s="229"/>
    </row>
    <row r="608" spans="1:31" s="204" customFormat="1">
      <c r="A608" s="204">
        <v>3000</v>
      </c>
      <c r="I608" s="190" t="s">
        <v>51</v>
      </c>
      <c r="J608" s="305">
        <f t="shared" ref="J608:T608" si="72">J598/$P$594</f>
        <v>2.3864070399999999</v>
      </c>
      <c r="K608" s="305">
        <f t="shared" si="72"/>
        <v>2.96</v>
      </c>
      <c r="L608" s="305">
        <f t="shared" si="72"/>
        <v>3.8816999999999999</v>
      </c>
      <c r="M608" s="305">
        <f t="shared" si="72"/>
        <v>7.3008000000000006</v>
      </c>
      <c r="N608" s="305">
        <f t="shared" si="72"/>
        <v>7.3008000000000006</v>
      </c>
      <c r="O608" s="305">
        <f t="shared" si="72"/>
        <v>10.686299999999999</v>
      </c>
      <c r="P608" s="305">
        <f t="shared" si="72"/>
        <v>10.7408</v>
      </c>
      <c r="Q608" s="305">
        <f t="shared" si="72"/>
        <v>13.74072</v>
      </c>
      <c r="R608" s="305">
        <f t="shared" si="72"/>
        <v>13.4564</v>
      </c>
      <c r="S608" s="305">
        <f t="shared" si="72"/>
        <v>15.734401999999999</v>
      </c>
      <c r="T608" s="305">
        <f t="shared" si="72"/>
        <v>15.634399999999999</v>
      </c>
      <c r="U608" s="305">
        <f t="shared" si="70"/>
        <v>17.438800000000001</v>
      </c>
      <c r="AE608" s="229"/>
    </row>
    <row r="609" spans="1:31" s="204" customFormat="1">
      <c r="A609" s="204">
        <v>4000</v>
      </c>
      <c r="I609" s="190" t="s">
        <v>52</v>
      </c>
      <c r="J609" s="305">
        <f t="shared" ref="J609:T609" si="73">J599/$P$594</f>
        <v>0.21717581</v>
      </c>
      <c r="K609" s="305">
        <f t="shared" si="73"/>
        <v>4.0000000000000001E-3</v>
      </c>
      <c r="L609" s="305">
        <f t="shared" si="73"/>
        <v>0.7732</v>
      </c>
      <c r="M609" s="305">
        <f t="shared" si="73"/>
        <v>1.5281</v>
      </c>
      <c r="N609" s="305">
        <f t="shared" si="73"/>
        <v>1.5281</v>
      </c>
      <c r="O609" s="305">
        <f t="shared" si="73"/>
        <v>1.2782</v>
      </c>
      <c r="P609" s="305">
        <f t="shared" si="73"/>
        <v>1.2782</v>
      </c>
      <c r="Q609" s="305">
        <f t="shared" si="73"/>
        <v>1.27827</v>
      </c>
      <c r="R609" s="305">
        <f t="shared" si="73"/>
        <v>0.97529999999999994</v>
      </c>
      <c r="S609" s="305">
        <f t="shared" si="73"/>
        <v>0.97532099999999999</v>
      </c>
      <c r="T609" s="305">
        <f t="shared" si="73"/>
        <v>0.97529999999999994</v>
      </c>
      <c r="U609" s="305">
        <f t="shared" si="70"/>
        <v>0.97529999999999994</v>
      </c>
      <c r="AE609" s="229"/>
    </row>
    <row r="610" spans="1:31" s="204" customFormat="1">
      <c r="A610" s="204">
        <v>5000</v>
      </c>
      <c r="I610" s="190" t="s">
        <v>53</v>
      </c>
      <c r="J610" s="305">
        <f t="shared" ref="J610:T610" si="74">J600/$P$594</f>
        <v>9.7579999999999991</v>
      </c>
      <c r="K610" s="305">
        <f t="shared" si="74"/>
        <v>9.8539999999999992</v>
      </c>
      <c r="L610" s="305">
        <f t="shared" si="74"/>
        <v>3.2993000000000001</v>
      </c>
      <c r="M610" s="305">
        <f t="shared" si="74"/>
        <v>4.0000999999999998</v>
      </c>
      <c r="N610" s="305">
        <f t="shared" si="74"/>
        <v>4.0000999999999998</v>
      </c>
      <c r="O610" s="305">
        <f t="shared" si="74"/>
        <v>6.4486000000000008</v>
      </c>
      <c r="P610" s="305">
        <f t="shared" si="74"/>
        <v>3</v>
      </c>
      <c r="Q610" s="305">
        <f t="shared" si="74"/>
        <v>4.6406000000000001</v>
      </c>
      <c r="R610" s="305">
        <f t="shared" si="74"/>
        <v>1.6</v>
      </c>
      <c r="S610" s="305">
        <f t="shared" si="74"/>
        <v>0.75</v>
      </c>
      <c r="T610" s="305">
        <f t="shared" si="74"/>
        <v>0.83333299999999999</v>
      </c>
      <c r="U610" s="305">
        <f t="shared" si="70"/>
        <v>8.2200000000000006</v>
      </c>
      <c r="AE610" s="229"/>
    </row>
    <row r="611" spans="1:31" s="204" customFormat="1">
      <c r="A611" s="204">
        <v>6000</v>
      </c>
      <c r="I611" s="190" t="s">
        <v>54</v>
      </c>
      <c r="J611" s="305">
        <f t="shared" ref="J611:T611" si="75">J601/$P$594</f>
        <v>1.1000000000000001</v>
      </c>
      <c r="K611" s="305">
        <f t="shared" si="75"/>
        <v>5</v>
      </c>
      <c r="L611" s="305">
        <f t="shared" si="75"/>
        <v>3.0002</v>
      </c>
      <c r="M611" s="305">
        <f t="shared" si="75"/>
        <v>3.2806999999999999</v>
      </c>
      <c r="N611" s="305">
        <f t="shared" si="75"/>
        <v>3.2806999999999999</v>
      </c>
      <c r="O611" s="305">
        <f t="shared" si="75"/>
        <v>3.2136999999999998</v>
      </c>
      <c r="P611" s="305">
        <f t="shared" si="75"/>
        <v>0</v>
      </c>
      <c r="Q611" s="305">
        <f t="shared" si="75"/>
        <v>4.5</v>
      </c>
      <c r="R611" s="305">
        <f t="shared" si="75"/>
        <v>0.5</v>
      </c>
      <c r="S611" s="305">
        <f t="shared" si="75"/>
        <v>0</v>
      </c>
      <c r="T611" s="305">
        <f t="shared" si="75"/>
        <v>0</v>
      </c>
      <c r="U611" s="305">
        <f t="shared" si="70"/>
        <v>2.8460999999999999</v>
      </c>
      <c r="AE611" s="229"/>
    </row>
    <row r="612" spans="1:31" s="204" customFormat="1" ht="15">
      <c r="I612" s="190" t="s">
        <v>48</v>
      </c>
      <c r="J612" s="335">
        <f t="shared" ref="J612:O612" si="76">J602/$P$594</f>
        <v>17.399999999999999</v>
      </c>
      <c r="K612" s="335">
        <f t="shared" si="76"/>
        <v>25.088999999999999</v>
      </c>
      <c r="L612" s="335">
        <f t="shared" si="76"/>
        <v>23.488900000000001</v>
      </c>
      <c r="M612" s="335">
        <f t="shared" si="76"/>
        <v>47.774499999999996</v>
      </c>
      <c r="N612" s="335">
        <f t="shared" si="76"/>
        <v>47.774499999999996</v>
      </c>
      <c r="O612" s="335">
        <f t="shared" si="76"/>
        <v>69.116400000000013</v>
      </c>
      <c r="P612" s="335">
        <f t="shared" ref="P612:U612" si="77">SUM(P606:P611)</f>
        <v>67.669899999999998</v>
      </c>
      <c r="Q612" s="335">
        <f t="shared" si="77"/>
        <v>87.710580000000007</v>
      </c>
      <c r="R612" s="335">
        <f t="shared" si="77"/>
        <v>84.3018</v>
      </c>
      <c r="S612" s="335">
        <f t="shared" si="77"/>
        <v>88.311312999999998</v>
      </c>
      <c r="T612" s="335">
        <f t="shared" si="77"/>
        <v>95.498317630000003</v>
      </c>
      <c r="U612" s="335">
        <f t="shared" si="77"/>
        <v>108.46969999999999</v>
      </c>
      <c r="V612" s="245"/>
      <c r="AE612" s="229"/>
    </row>
    <row r="613" spans="1:31" s="204" customFormat="1" ht="15">
      <c r="I613" s="373" t="s">
        <v>482</v>
      </c>
      <c r="J613" s="274">
        <v>18012</v>
      </c>
      <c r="K613" s="274">
        <v>34280</v>
      </c>
      <c r="L613" s="274">
        <v>39648</v>
      </c>
      <c r="M613" s="353">
        <v>50955</v>
      </c>
      <c r="N613" s="353"/>
      <c r="O613" s="214"/>
      <c r="P613" s="214"/>
      <c r="Q613" s="214"/>
      <c r="R613" s="214"/>
      <c r="S613" s="205"/>
      <c r="T613" s="214"/>
      <c r="U613" s="214"/>
      <c r="V613" s="214"/>
      <c r="AE613" s="229"/>
    </row>
    <row r="614" spans="1:31">
      <c r="I614" s="190" t="s">
        <v>483</v>
      </c>
      <c r="J614" s="274">
        <v>858</v>
      </c>
      <c r="K614" s="274">
        <v>885</v>
      </c>
      <c r="L614" s="274">
        <v>6901</v>
      </c>
      <c r="M614" s="353">
        <v>12799</v>
      </c>
      <c r="N614" s="353"/>
      <c r="P614" s="202"/>
      <c r="Q614" s="202"/>
      <c r="R614" s="202"/>
      <c r="S614" s="202"/>
      <c r="T614" s="202"/>
      <c r="W614" s="201"/>
    </row>
    <row r="615" spans="1:31">
      <c r="I615" s="190"/>
      <c r="P615" s="202"/>
      <c r="Q615" s="202"/>
      <c r="R615" s="202"/>
      <c r="S615" s="202"/>
      <c r="T615" s="202"/>
    </row>
    <row r="616" spans="1:31" ht="15">
      <c r="I616" s="191" t="s">
        <v>394</v>
      </c>
      <c r="J616" s="201"/>
      <c r="K616" s="201"/>
      <c r="L616" s="201"/>
      <c r="M616" s="201"/>
      <c r="N616" s="201">
        <v>1000</v>
      </c>
      <c r="O616" s="201"/>
      <c r="P616" s="201"/>
      <c r="Q616" s="201"/>
      <c r="R616" s="201"/>
      <c r="S616" s="201"/>
      <c r="T616" s="201"/>
      <c r="U616" s="201"/>
      <c r="V616" s="201"/>
      <c r="W616" s="201"/>
    </row>
    <row r="617" spans="1:31">
      <c r="I617" s="343"/>
      <c r="J617" s="344"/>
      <c r="K617" s="344"/>
      <c r="L617" s="344"/>
      <c r="M617" s="344"/>
      <c r="N617" s="344"/>
      <c r="O617" s="344"/>
    </row>
    <row r="619" spans="1:31" ht="15">
      <c r="I619" s="336"/>
      <c r="J619" s="336">
        <v>2003</v>
      </c>
      <c r="K619" s="336">
        <v>2004</v>
      </c>
      <c r="L619" s="336">
        <v>2005</v>
      </c>
      <c r="M619" s="336">
        <v>2006</v>
      </c>
      <c r="N619" s="336">
        <v>2007</v>
      </c>
      <c r="O619" s="336">
        <v>2008</v>
      </c>
      <c r="P619" s="336">
        <v>2009</v>
      </c>
      <c r="Q619" s="336">
        <v>2010</v>
      </c>
      <c r="R619" s="389"/>
    </row>
    <row r="620" spans="1:31">
      <c r="I620" s="189" t="s">
        <v>49</v>
      </c>
      <c r="J620" s="345">
        <v>59.602553000000007</v>
      </c>
      <c r="K620" s="345">
        <v>65.560299999999998</v>
      </c>
      <c r="L620" s="345">
        <v>67.490600000000001</v>
      </c>
      <c r="M620" s="345">
        <v>73.812899999999999</v>
      </c>
      <c r="N620" s="345">
        <v>75.510999999999996</v>
      </c>
      <c r="O620" s="274">
        <v>87.014648019999996</v>
      </c>
      <c r="P620" s="274">
        <f>W447</f>
        <v>93.757604189999995</v>
      </c>
      <c r="Q620" s="274">
        <f>Y447</f>
        <v>99.285917220000002</v>
      </c>
      <c r="R620" s="245"/>
    </row>
    <row r="621" spans="1:31">
      <c r="I621" s="190" t="s">
        <v>50</v>
      </c>
      <c r="J621" s="345">
        <v>4.7619470000000002</v>
      </c>
      <c r="K621" s="345">
        <v>4.67</v>
      </c>
      <c r="L621" s="345">
        <v>4.2093999999999996</v>
      </c>
      <c r="M621" s="345">
        <v>5.3618000000000006</v>
      </c>
      <c r="N621" s="345">
        <v>6.2469999999999999</v>
      </c>
      <c r="O621" s="274">
        <v>8.6435546999999993</v>
      </c>
      <c r="P621" s="274">
        <f>W444</f>
        <v>7.2614248200000002</v>
      </c>
      <c r="Q621" s="274">
        <f>Y444</f>
        <v>11.03776117</v>
      </c>
    </row>
    <row r="622" spans="1:31">
      <c r="I622" s="190" t="s">
        <v>51</v>
      </c>
      <c r="J622" s="345">
        <v>14.049023999999999</v>
      </c>
      <c r="K622" s="345">
        <v>15.0778</v>
      </c>
      <c r="L622" s="345">
        <v>17.424599999999998</v>
      </c>
      <c r="M622" s="345">
        <v>17.140900000000002</v>
      </c>
      <c r="N622" s="345">
        <v>20.651</v>
      </c>
      <c r="O622" s="274">
        <v>28.6771405</v>
      </c>
      <c r="P622" s="274">
        <f>W445</f>
        <v>36.044077420000001</v>
      </c>
      <c r="Q622" s="274">
        <f>Y445</f>
        <v>29.188256969999998</v>
      </c>
    </row>
    <row r="623" spans="1:31">
      <c r="I623" s="190" t="s">
        <v>52</v>
      </c>
      <c r="J623" s="345">
        <v>5.6013000000000002</v>
      </c>
      <c r="K623" s="345">
        <v>5.4283000000000001</v>
      </c>
      <c r="L623" s="345">
        <v>10.6511</v>
      </c>
      <c r="M623" s="345">
        <v>6.2533000000000003</v>
      </c>
      <c r="N623" s="345">
        <v>11.061999999999999</v>
      </c>
      <c r="O623" s="274">
        <v>10.66810132</v>
      </c>
      <c r="P623" s="274">
        <f>W442</f>
        <v>19.420928410000002</v>
      </c>
      <c r="Q623" s="274">
        <f>Y442</f>
        <v>8.3280939999999983</v>
      </c>
    </row>
    <row r="624" spans="1:31">
      <c r="I624" s="190" t="s">
        <v>53</v>
      </c>
      <c r="J624" s="345">
        <v>5.1912000000000003</v>
      </c>
      <c r="K624" s="345">
        <v>1.6</v>
      </c>
      <c r="L624" s="345">
        <v>0.80020000000000002</v>
      </c>
      <c r="M624" s="345">
        <v>1.5749000000000002</v>
      </c>
      <c r="N624" s="345">
        <v>8.9429999999999996</v>
      </c>
      <c r="O624" s="274">
        <v>3.2760744700000002</v>
      </c>
      <c r="P624" s="274">
        <f>W443</f>
        <v>5.2701361699999998</v>
      </c>
      <c r="Q624" s="274">
        <f>Y443</f>
        <v>9.18070831</v>
      </c>
    </row>
    <row r="625" spans="9:17">
      <c r="I625" s="190" t="s">
        <v>54</v>
      </c>
      <c r="J625" s="345">
        <v>4.5</v>
      </c>
      <c r="K625" s="345">
        <v>0.5</v>
      </c>
      <c r="L625" s="345">
        <v>0.49660000000000004</v>
      </c>
      <c r="M625" s="345">
        <v>0</v>
      </c>
      <c r="N625" s="345">
        <v>2.8460000000000001</v>
      </c>
      <c r="O625" s="274">
        <v>0.14662500000000001</v>
      </c>
      <c r="P625" s="274">
        <f>W441</f>
        <v>3</v>
      </c>
      <c r="Q625" s="274">
        <f>Y441</f>
        <v>0.38438484999999994</v>
      </c>
    </row>
    <row r="626" spans="9:17">
      <c r="I626" s="190" t="s">
        <v>434</v>
      </c>
      <c r="J626" s="345">
        <v>0</v>
      </c>
      <c r="K626" s="345">
        <v>0</v>
      </c>
      <c r="L626" s="345">
        <v>0</v>
      </c>
      <c r="M626" s="345">
        <v>0</v>
      </c>
      <c r="N626" s="345">
        <v>0</v>
      </c>
      <c r="O626" s="274">
        <v>0</v>
      </c>
      <c r="P626" s="274">
        <f>W446</f>
        <v>0</v>
      </c>
      <c r="Q626" s="274">
        <f>Y446</f>
        <v>42.481037270000002</v>
      </c>
    </row>
    <row r="627" spans="9:17" ht="15">
      <c r="I627" s="191" t="s">
        <v>48</v>
      </c>
      <c r="J627" s="347">
        <v>93.706023999999999</v>
      </c>
      <c r="K627" s="347">
        <v>92.836399999999998</v>
      </c>
      <c r="L627" s="347">
        <v>101.07250000000001</v>
      </c>
      <c r="M627" s="347">
        <v>104.1438</v>
      </c>
      <c r="N627" s="347">
        <v>125.26</v>
      </c>
      <c r="O627" s="288">
        <v>163.59884239999997</v>
      </c>
      <c r="P627" s="274">
        <f>W448</f>
        <v>67.996566819999998</v>
      </c>
      <c r="Q627" s="274">
        <f>Y448</f>
        <v>199.88615978999999</v>
      </c>
    </row>
    <row r="631" spans="9:17" ht="15">
      <c r="I631" s="191" t="s">
        <v>410</v>
      </c>
      <c r="J631" s="260"/>
      <c r="K631" s="274"/>
      <c r="L631" s="274"/>
      <c r="M631" s="274"/>
      <c r="N631" s="274"/>
      <c r="O631" s="274"/>
    </row>
    <row r="632" spans="9:17" ht="30">
      <c r="I632" s="336" t="s">
        <v>387</v>
      </c>
      <c r="J632" s="336" t="s">
        <v>405</v>
      </c>
      <c r="K632" s="336" t="s">
        <v>406</v>
      </c>
      <c r="L632" s="336" t="s">
        <v>415</v>
      </c>
      <c r="M632" s="336" t="s">
        <v>416</v>
      </c>
      <c r="N632" s="336" t="s">
        <v>453</v>
      </c>
      <c r="O632" s="336" t="s">
        <v>431</v>
      </c>
    </row>
    <row r="633" spans="9:17">
      <c r="I633" s="189" t="s">
        <v>49</v>
      </c>
      <c r="J633" s="340">
        <v>90659.455029999997</v>
      </c>
      <c r="K633" s="340">
        <v>87014.648019999993</v>
      </c>
      <c r="L633" s="390">
        <v>93309.442169999995</v>
      </c>
      <c r="M633" s="346">
        <v>93757.604189999998</v>
      </c>
      <c r="N633" s="346">
        <v>101153.7271</v>
      </c>
      <c r="O633" s="346">
        <f t="shared" ref="O633:O640" si="78">Y430</f>
        <v>99285.917220000003</v>
      </c>
    </row>
    <row r="634" spans="9:17">
      <c r="I634" s="190" t="s">
        <v>50</v>
      </c>
      <c r="J634" s="340">
        <v>10501.022000000001</v>
      </c>
      <c r="K634" s="340">
        <v>8643.5546999999988</v>
      </c>
      <c r="L634" s="390">
        <v>7511.7460000000001</v>
      </c>
      <c r="M634" s="346">
        <v>7261.4248200000002</v>
      </c>
      <c r="N634" s="346">
        <v>11121.644</v>
      </c>
      <c r="O634" s="346">
        <f t="shared" si="78"/>
        <v>11037.76117</v>
      </c>
    </row>
    <row r="635" spans="9:17">
      <c r="I635" s="190" t="s">
        <v>51</v>
      </c>
      <c r="J635" s="340">
        <v>30834.411</v>
      </c>
      <c r="K635" s="340">
        <v>28677.140500000001</v>
      </c>
      <c r="L635" s="390">
        <v>36593.464999999997</v>
      </c>
      <c r="M635" s="346">
        <v>36044.077420000001</v>
      </c>
      <c r="N635" s="346">
        <v>30620.807000000001</v>
      </c>
      <c r="O635" s="346">
        <f t="shared" si="78"/>
        <v>29188.256969999999</v>
      </c>
    </row>
    <row r="636" spans="9:17">
      <c r="I636" s="190" t="s">
        <v>452</v>
      </c>
      <c r="J636" s="340">
        <v>3975.3</v>
      </c>
      <c r="K636" s="340">
        <v>10668.10132</v>
      </c>
      <c r="L636" s="390">
        <v>15690.605</v>
      </c>
      <c r="M636" s="346">
        <v>19420.92841</v>
      </c>
      <c r="N636" s="346">
        <v>9155.2999999999993</v>
      </c>
      <c r="O636" s="346">
        <f t="shared" si="78"/>
        <v>8328.0939999999991</v>
      </c>
    </row>
    <row r="637" spans="9:17">
      <c r="I637" s="190" t="s">
        <v>53</v>
      </c>
      <c r="J637" s="340">
        <v>5525</v>
      </c>
      <c r="K637" s="340">
        <v>3276.07447</v>
      </c>
      <c r="L637" s="390">
        <v>6500</v>
      </c>
      <c r="M637" s="346">
        <v>5270.1361699999998</v>
      </c>
      <c r="N637" s="346">
        <v>12099</v>
      </c>
      <c r="O637" s="346">
        <f t="shared" si="78"/>
        <v>9180.70831</v>
      </c>
    </row>
    <row r="638" spans="9:17">
      <c r="I638" s="190" t="s">
        <v>54</v>
      </c>
      <c r="J638" s="340">
        <v>1314</v>
      </c>
      <c r="K638" s="340">
        <v>146.625</v>
      </c>
      <c r="L638" s="390">
        <v>3500</v>
      </c>
      <c r="M638" s="346">
        <v>3000</v>
      </c>
      <c r="N638" s="346">
        <v>1000</v>
      </c>
      <c r="O638" s="346">
        <f t="shared" si="78"/>
        <v>384.38484999999997</v>
      </c>
    </row>
    <row r="639" spans="9:17">
      <c r="I639" s="190" t="s">
        <v>52</v>
      </c>
      <c r="J639" s="340">
        <v>0</v>
      </c>
      <c r="K639" s="340">
        <v>0</v>
      </c>
      <c r="L639" s="390">
        <v>0</v>
      </c>
      <c r="M639" s="346">
        <v>0</v>
      </c>
      <c r="N639" s="346">
        <v>26500</v>
      </c>
      <c r="O639" s="346">
        <f t="shared" si="78"/>
        <v>42481.037270000001</v>
      </c>
    </row>
    <row r="640" spans="9:17" ht="15">
      <c r="I640" s="341" t="s">
        <v>21</v>
      </c>
      <c r="J640" s="342">
        <f>SUM(J633:J639)</f>
        <v>142809.18802999999</v>
      </c>
      <c r="K640" s="342">
        <v>138426.14400999996</v>
      </c>
      <c r="L640" s="342">
        <f>SUM(L633:L639)</f>
        <v>163105.25817000002</v>
      </c>
      <c r="M640" s="342">
        <v>138427.14400999999</v>
      </c>
      <c r="N640" s="342">
        <f>SUM(N633:N639)</f>
        <v>191650.47810000001</v>
      </c>
      <c r="O640" s="342">
        <f t="shared" si="78"/>
        <v>199886.15979000001</v>
      </c>
    </row>
    <row r="642" spans="9:19">
      <c r="J642" s="260"/>
      <c r="K642" s="274"/>
      <c r="L642" s="274">
        <v>1000</v>
      </c>
      <c r="M642" s="274"/>
      <c r="N642" s="274">
        <v>2010</v>
      </c>
      <c r="O642" s="274">
        <v>2010</v>
      </c>
    </row>
    <row r="643" spans="9:19" ht="15">
      <c r="I643" s="191" t="s">
        <v>410</v>
      </c>
      <c r="J643" s="336" t="s">
        <v>405</v>
      </c>
      <c r="K643" s="336" t="s">
        <v>406</v>
      </c>
      <c r="L643" s="336" t="s">
        <v>415</v>
      </c>
      <c r="M643" s="336" t="s">
        <v>416</v>
      </c>
      <c r="N643" s="336" t="s">
        <v>455</v>
      </c>
      <c r="O643" s="336" t="s">
        <v>456</v>
      </c>
    </row>
    <row r="644" spans="9:19">
      <c r="I644" s="189" t="s">
        <v>49</v>
      </c>
      <c r="J644" s="391">
        <f t="shared" ref="J644:J649" si="79">J633/L$642</f>
        <v>90.659455030000004</v>
      </c>
      <c r="K644" s="391">
        <f t="shared" ref="K644:K649" si="80">K633/L$642</f>
        <v>87.014648019999996</v>
      </c>
      <c r="L644" s="391">
        <f t="shared" ref="L644:L649" si="81">L633/L$642</f>
        <v>93.309442169999997</v>
      </c>
      <c r="M644" s="391">
        <f t="shared" ref="M644:M649" si="82">M633/L$642</f>
        <v>93.757604189999995</v>
      </c>
      <c r="N644" s="391">
        <f>N633/$L$642</f>
        <v>101.1537271</v>
      </c>
      <c r="O644" s="391">
        <f>O633/$L$642</f>
        <v>99.285917220000002</v>
      </c>
    </row>
    <row r="645" spans="9:19">
      <c r="I645" s="190" t="s">
        <v>50</v>
      </c>
      <c r="J645" s="391">
        <f t="shared" si="79"/>
        <v>10.501022000000001</v>
      </c>
      <c r="K645" s="391">
        <f t="shared" si="80"/>
        <v>8.6435546999999993</v>
      </c>
      <c r="L645" s="391">
        <f t="shared" si="81"/>
        <v>7.5117460000000005</v>
      </c>
      <c r="M645" s="391">
        <f t="shared" si="82"/>
        <v>7.2614248200000002</v>
      </c>
      <c r="N645" s="391">
        <f t="shared" ref="N645:N651" si="83">N634/$L$642</f>
        <v>11.121644</v>
      </c>
      <c r="O645" s="391">
        <f t="shared" ref="O645:O651" si="84">O634/$L$642</f>
        <v>11.03776117</v>
      </c>
    </row>
    <row r="646" spans="9:19">
      <c r="I646" s="190" t="s">
        <v>51</v>
      </c>
      <c r="J646" s="391">
        <f t="shared" si="79"/>
        <v>30.834410999999999</v>
      </c>
      <c r="K646" s="391">
        <f t="shared" si="80"/>
        <v>28.6771405</v>
      </c>
      <c r="L646" s="391">
        <f t="shared" si="81"/>
        <v>36.593464999999995</v>
      </c>
      <c r="M646" s="391">
        <f t="shared" si="82"/>
        <v>36.044077420000001</v>
      </c>
      <c r="N646" s="391">
        <f t="shared" si="83"/>
        <v>30.620806999999999</v>
      </c>
      <c r="O646" s="391">
        <f t="shared" si="84"/>
        <v>29.188256969999998</v>
      </c>
    </row>
    <row r="647" spans="9:19">
      <c r="I647" s="190" t="s">
        <v>452</v>
      </c>
      <c r="J647" s="391">
        <f t="shared" si="79"/>
        <v>3.9753000000000003</v>
      </c>
      <c r="K647" s="391">
        <f t="shared" si="80"/>
        <v>10.66810132</v>
      </c>
      <c r="L647" s="391">
        <f t="shared" si="81"/>
        <v>15.690605</v>
      </c>
      <c r="M647" s="391">
        <f t="shared" si="82"/>
        <v>19.420928410000002</v>
      </c>
      <c r="N647" s="391">
        <f t="shared" si="83"/>
        <v>9.1552999999999987</v>
      </c>
      <c r="O647" s="391">
        <f t="shared" si="84"/>
        <v>8.3280939999999983</v>
      </c>
    </row>
    <row r="648" spans="9:19">
      <c r="I648" s="190" t="s">
        <v>53</v>
      </c>
      <c r="J648" s="391">
        <f t="shared" si="79"/>
        <v>5.5250000000000004</v>
      </c>
      <c r="K648" s="391">
        <f t="shared" si="80"/>
        <v>3.2760744700000002</v>
      </c>
      <c r="L648" s="391">
        <f t="shared" si="81"/>
        <v>6.5</v>
      </c>
      <c r="M648" s="391">
        <f t="shared" si="82"/>
        <v>5.2701361699999998</v>
      </c>
      <c r="N648" s="391">
        <f t="shared" si="83"/>
        <v>12.099</v>
      </c>
      <c r="O648" s="391">
        <f t="shared" si="84"/>
        <v>9.18070831</v>
      </c>
    </row>
    <row r="649" spans="9:19">
      <c r="I649" s="190" t="s">
        <v>54</v>
      </c>
      <c r="J649" s="391">
        <f t="shared" si="79"/>
        <v>1.3140000000000001</v>
      </c>
      <c r="K649" s="391">
        <f t="shared" si="80"/>
        <v>0.14662500000000001</v>
      </c>
      <c r="L649" s="391">
        <f t="shared" si="81"/>
        <v>3.5</v>
      </c>
      <c r="M649" s="391">
        <f t="shared" si="82"/>
        <v>3</v>
      </c>
      <c r="N649" s="391">
        <f t="shared" si="83"/>
        <v>1</v>
      </c>
      <c r="O649" s="391">
        <f t="shared" si="84"/>
        <v>0.38438484999999994</v>
      </c>
    </row>
    <row r="650" spans="9:19">
      <c r="I650" s="190" t="s">
        <v>454</v>
      </c>
      <c r="J650" s="391">
        <v>0</v>
      </c>
      <c r="K650" s="391">
        <v>0</v>
      </c>
      <c r="L650" s="391">
        <v>0</v>
      </c>
      <c r="M650" s="391">
        <v>0</v>
      </c>
      <c r="N650" s="391">
        <f t="shared" si="83"/>
        <v>26.5</v>
      </c>
      <c r="O650" s="391">
        <f t="shared" si="84"/>
        <v>42.481037270000002</v>
      </c>
    </row>
    <row r="651" spans="9:19" ht="15">
      <c r="I651" s="341" t="s">
        <v>21</v>
      </c>
      <c r="J651" s="347">
        <f>SUM(J644:J649)</f>
        <v>142.80918803</v>
      </c>
      <c r="K651" s="347">
        <f>SUM(K644:K649)</f>
        <v>138.42614401</v>
      </c>
      <c r="L651" s="347">
        <f>SUM(L644:L649)</f>
        <v>163.10525817000001</v>
      </c>
      <c r="M651" s="347">
        <f>SUM(M644:M649)</f>
        <v>164.75417100999999</v>
      </c>
      <c r="N651" s="347">
        <f t="shared" si="83"/>
        <v>191.65047810000002</v>
      </c>
      <c r="O651" s="347">
        <f t="shared" si="84"/>
        <v>199.88615978999999</v>
      </c>
    </row>
    <row r="652" spans="9:19" ht="15">
      <c r="I652" s="341"/>
      <c r="J652" s="347"/>
      <c r="K652" s="347"/>
      <c r="L652" s="347"/>
      <c r="M652" s="347"/>
      <c r="N652" s="347"/>
      <c r="O652" s="347"/>
    </row>
    <row r="653" spans="9:19" ht="15">
      <c r="I653" s="341"/>
      <c r="J653" s="347"/>
      <c r="K653" s="347"/>
      <c r="L653" s="347"/>
      <c r="M653" s="347"/>
      <c r="N653" s="347"/>
      <c r="O653" s="347"/>
    </row>
    <row r="654" spans="9:19" ht="30">
      <c r="I654" s="341" t="s">
        <v>600</v>
      </c>
      <c r="J654" s="392">
        <v>2004</v>
      </c>
      <c r="K654" s="392">
        <v>2005</v>
      </c>
      <c r="L654" s="392">
        <v>2006</v>
      </c>
      <c r="M654" s="392">
        <v>2007</v>
      </c>
      <c r="N654" s="392">
        <v>2008</v>
      </c>
      <c r="O654" s="392">
        <v>2009</v>
      </c>
      <c r="P654" s="392">
        <v>2010</v>
      </c>
      <c r="Q654" s="392">
        <v>2011</v>
      </c>
      <c r="R654" s="392">
        <v>2012</v>
      </c>
      <c r="S654" s="392">
        <v>2013</v>
      </c>
    </row>
    <row r="655" spans="9:19" ht="15">
      <c r="I655" s="190" t="s">
        <v>586</v>
      </c>
      <c r="J655" s="347"/>
      <c r="K655" s="347"/>
      <c r="L655" s="347"/>
      <c r="M655" s="347"/>
      <c r="N655" s="347"/>
      <c r="O655" s="347"/>
      <c r="P655" s="347"/>
      <c r="Q655" s="347"/>
      <c r="R655" s="347"/>
      <c r="S655" s="393">
        <v>1</v>
      </c>
    </row>
    <row r="656" spans="9:19" ht="15">
      <c r="I656" s="190" t="s">
        <v>587</v>
      </c>
      <c r="J656" s="347"/>
      <c r="K656" s="347"/>
      <c r="L656" s="347"/>
      <c r="M656" s="347"/>
      <c r="N656" s="347"/>
      <c r="O656" s="347"/>
      <c r="P656" s="347"/>
      <c r="Q656" s="347"/>
      <c r="R656" s="347"/>
      <c r="S656" s="393">
        <v>9</v>
      </c>
    </row>
    <row r="657" spans="9:19" ht="15">
      <c r="I657" s="190" t="s">
        <v>588</v>
      </c>
      <c r="J657" s="347"/>
      <c r="K657" s="347"/>
      <c r="L657" s="347"/>
      <c r="M657" s="347"/>
      <c r="N657" s="347"/>
      <c r="O657" s="347"/>
      <c r="P657" s="347"/>
      <c r="Q657" s="347"/>
      <c r="R657" s="347"/>
      <c r="S657" s="393">
        <v>12</v>
      </c>
    </row>
    <row r="658" spans="9:19" ht="15">
      <c r="I658" s="190" t="s">
        <v>589</v>
      </c>
      <c r="J658" s="347"/>
      <c r="K658" s="347"/>
      <c r="L658" s="347"/>
      <c r="M658" s="347"/>
      <c r="N658" s="347"/>
      <c r="O658" s="347"/>
      <c r="P658" s="347"/>
      <c r="Q658" s="347"/>
      <c r="R658" s="347"/>
      <c r="S658" s="393">
        <v>18</v>
      </c>
    </row>
    <row r="659" spans="9:19" ht="15">
      <c r="I659" s="190" t="s">
        <v>590</v>
      </c>
      <c r="J659" s="347"/>
      <c r="K659" s="347"/>
      <c r="L659" s="347"/>
      <c r="M659" s="347"/>
      <c r="N659" s="347"/>
      <c r="O659" s="347"/>
      <c r="P659" s="347"/>
      <c r="Q659" s="347"/>
      <c r="R659" s="347"/>
      <c r="S659" s="393">
        <v>8</v>
      </c>
    </row>
    <row r="660" spans="9:19" ht="15">
      <c r="I660" s="341" t="s">
        <v>21</v>
      </c>
      <c r="J660" s="347"/>
      <c r="K660" s="347"/>
      <c r="L660" s="347"/>
      <c r="M660" s="347"/>
      <c r="N660" s="347"/>
      <c r="O660" s="347"/>
      <c r="P660" s="347"/>
      <c r="Q660" s="347"/>
      <c r="R660" s="347"/>
      <c r="S660" s="393">
        <f>SUM(S655:S659)</f>
        <v>48</v>
      </c>
    </row>
    <row r="661" spans="9:19" ht="15">
      <c r="I661" s="341"/>
      <c r="J661" s="347"/>
      <c r="K661" s="347"/>
      <c r="L661" s="347"/>
      <c r="M661" s="347"/>
      <c r="N661" s="347"/>
      <c r="O661" s="347"/>
    </row>
    <row r="662" spans="9:19" ht="15">
      <c r="I662" s="341"/>
      <c r="J662" s="347"/>
      <c r="K662" s="347"/>
      <c r="L662" s="347"/>
      <c r="M662" s="347"/>
      <c r="N662" s="347"/>
      <c r="O662" s="347"/>
    </row>
    <row r="663" spans="9:19" ht="15">
      <c r="I663" s="341"/>
      <c r="J663" s="347"/>
      <c r="K663" s="347"/>
      <c r="L663" s="347"/>
      <c r="M663" s="347"/>
      <c r="N663" s="347"/>
      <c r="O663" s="347"/>
    </row>
    <row r="664" spans="9:19" ht="15">
      <c r="I664" s="341"/>
      <c r="J664" s="347"/>
      <c r="K664" s="347"/>
      <c r="L664" s="347"/>
      <c r="M664" s="347"/>
      <c r="N664" s="347"/>
      <c r="O664" s="347"/>
    </row>
    <row r="665" spans="9:19" ht="15">
      <c r="I665" s="341"/>
      <c r="J665" s="347"/>
      <c r="K665" s="347"/>
      <c r="L665" s="347"/>
      <c r="M665" s="347"/>
      <c r="N665" s="347"/>
      <c r="O665" s="347"/>
    </row>
    <row r="666" spans="9:19" ht="15">
      <c r="I666" s="341"/>
      <c r="J666" s="347"/>
      <c r="K666" s="347"/>
      <c r="L666" s="347"/>
      <c r="M666" s="347"/>
      <c r="N666" s="347"/>
      <c r="O666" s="347"/>
    </row>
    <row r="667" spans="9:19" ht="15">
      <c r="I667" s="341"/>
      <c r="J667" s="347"/>
      <c r="K667" s="347"/>
      <c r="L667" s="347"/>
      <c r="M667" s="347"/>
      <c r="N667" s="347"/>
      <c r="O667" s="347"/>
    </row>
    <row r="668" spans="9:19" ht="15">
      <c r="I668" s="341"/>
      <c r="J668" s="347"/>
      <c r="K668" s="347"/>
      <c r="L668" s="347"/>
      <c r="M668" s="347"/>
      <c r="N668" s="347"/>
      <c r="O668" s="347"/>
    </row>
    <row r="669" spans="9:19" ht="15">
      <c r="I669" s="341"/>
      <c r="J669" s="347"/>
      <c r="K669" s="347"/>
      <c r="L669" s="347"/>
      <c r="M669" s="347"/>
      <c r="N669" s="347"/>
      <c r="O669" s="347"/>
    </row>
    <row r="670" spans="9:19" ht="15">
      <c r="I670" s="341"/>
      <c r="J670" s="347"/>
      <c r="K670" s="347"/>
      <c r="L670" s="347"/>
      <c r="M670" s="347"/>
      <c r="N670" s="347"/>
      <c r="O670" s="347"/>
    </row>
    <row r="671" spans="9:19" ht="15">
      <c r="I671" s="341"/>
      <c r="J671" s="347"/>
      <c r="K671" s="347"/>
      <c r="L671" s="347"/>
      <c r="M671" s="347"/>
      <c r="N671" s="347"/>
      <c r="O671" s="347"/>
    </row>
    <row r="672" spans="9:19" ht="15">
      <c r="I672" s="341"/>
      <c r="J672" s="347"/>
      <c r="K672" s="347"/>
      <c r="L672" s="347"/>
      <c r="M672" s="347"/>
      <c r="N672" s="347"/>
      <c r="O672" s="347"/>
    </row>
    <row r="673" spans="9:17" ht="15">
      <c r="I673" s="341"/>
      <c r="J673" s="347"/>
      <c r="K673" s="347"/>
      <c r="L673" s="347"/>
      <c r="M673" s="347"/>
      <c r="N673" s="347"/>
      <c r="O673" s="347"/>
    </row>
    <row r="674" spans="9:17" ht="15">
      <c r="I674" s="341"/>
      <c r="J674" s="347"/>
      <c r="K674" s="347"/>
      <c r="L674" s="347"/>
      <c r="M674" s="347"/>
      <c r="N674" s="347"/>
      <c r="O674" s="347"/>
    </row>
    <row r="675" spans="9:17" ht="15">
      <c r="I675" s="341"/>
      <c r="J675" s="347"/>
      <c r="K675" s="347"/>
      <c r="L675" s="347"/>
      <c r="M675" s="347"/>
      <c r="N675" s="347"/>
      <c r="O675" s="347"/>
    </row>
    <row r="676" spans="9:17" ht="15">
      <c r="I676" s="341"/>
      <c r="J676" s="347"/>
      <c r="K676" s="347"/>
      <c r="L676" s="347"/>
      <c r="M676" s="347"/>
      <c r="N676" s="347"/>
      <c r="O676" s="347"/>
    </row>
    <row r="677" spans="9:17" ht="15">
      <c r="I677" s="341"/>
      <c r="J677" s="347"/>
      <c r="K677" s="347"/>
      <c r="L677" s="347"/>
      <c r="M677" s="347"/>
      <c r="N677" s="347"/>
      <c r="O677" s="347"/>
    </row>
    <row r="678" spans="9:17" ht="15">
      <c r="I678" s="341"/>
      <c r="J678" s="347"/>
      <c r="K678" s="347"/>
      <c r="L678" s="347"/>
      <c r="M678" s="347"/>
      <c r="N678" s="347"/>
      <c r="O678" s="347"/>
    </row>
    <row r="679" spans="9:17" ht="15">
      <c r="I679" s="341"/>
      <c r="J679" s="347"/>
      <c r="K679" s="347"/>
      <c r="L679" s="347"/>
      <c r="M679" s="347"/>
      <c r="N679" s="347"/>
      <c r="O679" s="347"/>
    </row>
    <row r="680" spans="9:17" ht="15">
      <c r="I680" s="341"/>
      <c r="J680" s="347"/>
      <c r="K680" s="347"/>
      <c r="L680" s="347"/>
      <c r="M680" s="347"/>
      <c r="N680" s="347"/>
      <c r="O680" s="347"/>
    </row>
    <row r="683" spans="9:17" ht="15">
      <c r="I683" s="219" t="s">
        <v>457</v>
      </c>
      <c r="J683" s="394">
        <v>2006</v>
      </c>
      <c r="K683" s="394">
        <v>2007</v>
      </c>
      <c r="L683" s="394">
        <v>2008</v>
      </c>
      <c r="M683" s="394">
        <v>2009</v>
      </c>
      <c r="N683" s="394">
        <v>2010</v>
      </c>
      <c r="O683" s="394">
        <v>2011</v>
      </c>
      <c r="P683" s="236">
        <v>2012</v>
      </c>
      <c r="Q683" s="236">
        <v>2013</v>
      </c>
    </row>
    <row r="684" spans="9:17">
      <c r="I684" s="221" t="s">
        <v>458</v>
      </c>
      <c r="J684" s="213">
        <v>15</v>
      </c>
      <c r="K684" s="213">
        <v>20</v>
      </c>
      <c r="L684" s="213">
        <v>22</v>
      </c>
      <c r="M684" s="213">
        <v>25</v>
      </c>
      <c r="N684" s="213">
        <v>47</v>
      </c>
      <c r="O684" s="213">
        <v>33</v>
      </c>
      <c r="P684" s="199">
        <v>42</v>
      </c>
      <c r="Q684" s="199">
        <v>75</v>
      </c>
    </row>
    <row r="688" spans="9:17" ht="15" hidden="1">
      <c r="I688" s="439" t="s">
        <v>489</v>
      </c>
      <c r="J688" s="439" t="s">
        <v>484</v>
      </c>
      <c r="K688" s="395" t="s">
        <v>447</v>
      </c>
      <c r="L688" s="445" t="s">
        <v>485</v>
      </c>
    </row>
    <row r="689" spans="9:12" ht="15.75" hidden="1" thickBot="1">
      <c r="I689" s="440"/>
      <c r="J689" s="440"/>
      <c r="K689" s="396"/>
      <c r="L689" s="446"/>
    </row>
    <row r="690" spans="9:12" ht="15" hidden="1" thickBot="1">
      <c r="I690" s="397" t="s">
        <v>486</v>
      </c>
      <c r="J690" s="398">
        <v>13262</v>
      </c>
      <c r="K690" s="399">
        <v>800</v>
      </c>
      <c r="L690" s="400">
        <v>6</v>
      </c>
    </row>
    <row r="691" spans="9:12" ht="15" hidden="1" thickBot="1">
      <c r="I691" s="397" t="s">
        <v>435</v>
      </c>
      <c r="J691" s="398">
        <v>12331</v>
      </c>
      <c r="K691" s="399">
        <v>9443</v>
      </c>
      <c r="L691" s="400">
        <v>77</v>
      </c>
    </row>
    <row r="692" spans="9:12" ht="15" hidden="1" thickBot="1">
      <c r="I692" s="397" t="s">
        <v>487</v>
      </c>
      <c r="J692" s="398">
        <v>25362</v>
      </c>
      <c r="K692" s="399">
        <v>2556</v>
      </c>
      <c r="L692" s="400">
        <v>10</v>
      </c>
    </row>
    <row r="693" spans="9:12" ht="15.75" hidden="1" thickBot="1">
      <c r="I693" s="401" t="s">
        <v>488</v>
      </c>
      <c r="J693" s="402">
        <v>50955</v>
      </c>
      <c r="K693" s="403">
        <v>12799</v>
      </c>
      <c r="L693" s="404">
        <v>25</v>
      </c>
    </row>
    <row r="694" spans="9:12" hidden="1"/>
    <row r="695" spans="9:12" hidden="1"/>
    <row r="696" spans="9:12" ht="15" hidden="1" thickBot="1"/>
    <row r="697" spans="9:12" ht="31.5" hidden="1" customHeight="1">
      <c r="I697" s="439" t="s">
        <v>500</v>
      </c>
      <c r="J697" s="443" t="s">
        <v>484</v>
      </c>
      <c r="K697" s="441" t="s">
        <v>447</v>
      </c>
      <c r="L697" s="441" t="s">
        <v>485</v>
      </c>
    </row>
    <row r="698" spans="9:12" ht="15" hidden="1" thickBot="1">
      <c r="I698" s="440"/>
      <c r="J698" s="444"/>
      <c r="K698" s="442"/>
      <c r="L698" s="442"/>
    </row>
    <row r="699" spans="9:12" ht="15" hidden="1" thickBot="1">
      <c r="I699" s="405" t="s">
        <v>498</v>
      </c>
      <c r="J699" s="406">
        <v>8907</v>
      </c>
      <c r="K699" s="407">
        <v>1135</v>
      </c>
      <c r="L699" s="408">
        <v>0.12</v>
      </c>
    </row>
    <row r="700" spans="9:12" ht="15" hidden="1" thickBot="1">
      <c r="I700" s="405" t="s">
        <v>499</v>
      </c>
      <c r="J700" s="406">
        <v>42521</v>
      </c>
      <c r="K700" s="407">
        <v>12398</v>
      </c>
      <c r="L700" s="408">
        <v>0.28999999999999998</v>
      </c>
    </row>
    <row r="701" spans="9:12" ht="15.75" hidden="1" thickBot="1">
      <c r="I701" s="409" t="s">
        <v>21</v>
      </c>
      <c r="J701" s="406">
        <v>51428</v>
      </c>
      <c r="K701" s="407">
        <v>13533</v>
      </c>
      <c r="L701" s="408">
        <v>0.46</v>
      </c>
    </row>
    <row r="703" spans="9:12" ht="15.75" thickBot="1">
      <c r="I703" s="410" t="s">
        <v>507</v>
      </c>
    </row>
    <row r="704" spans="9:12" ht="15">
      <c r="I704" s="411">
        <v>2009</v>
      </c>
      <c r="J704" s="412" t="s">
        <v>505</v>
      </c>
      <c r="K704" s="413" t="s">
        <v>506</v>
      </c>
    </row>
    <row r="705" spans="9:11" ht="15">
      <c r="I705" s="414" t="s">
        <v>62</v>
      </c>
      <c r="J705" s="415">
        <v>41</v>
      </c>
      <c r="K705" s="416">
        <v>40310</v>
      </c>
    </row>
    <row r="706" spans="9:11" ht="15">
      <c r="I706" s="414" t="s">
        <v>501</v>
      </c>
      <c r="J706" s="415">
        <v>24</v>
      </c>
      <c r="K706" s="416">
        <v>32550</v>
      </c>
    </row>
    <row r="707" spans="9:11" ht="15">
      <c r="I707" s="414" t="s">
        <v>502</v>
      </c>
      <c r="J707" s="415">
        <v>21</v>
      </c>
      <c r="K707" s="416">
        <v>19450</v>
      </c>
    </row>
    <row r="708" spans="9:11" ht="15">
      <c r="I708" s="414" t="s">
        <v>503</v>
      </c>
      <c r="J708" s="415">
        <v>19</v>
      </c>
      <c r="K708" s="416">
        <v>46150</v>
      </c>
    </row>
    <row r="709" spans="9:11" ht="15">
      <c r="I709" s="414" t="s">
        <v>504</v>
      </c>
      <c r="J709" s="415">
        <v>1</v>
      </c>
      <c r="K709" s="416">
        <v>12550</v>
      </c>
    </row>
    <row r="710" spans="9:11" ht="15.75" thickBot="1">
      <c r="I710" s="417" t="s">
        <v>21</v>
      </c>
      <c r="J710" s="418">
        <f>SUM(J705:J709)</f>
        <v>106</v>
      </c>
      <c r="K710" s="419">
        <f>SUM(K705:K709)</f>
        <v>151010</v>
      </c>
    </row>
    <row r="711" spans="9:11" ht="15" thickBot="1"/>
    <row r="712" spans="9:11" ht="15">
      <c r="I712" s="411">
        <v>2010</v>
      </c>
      <c r="J712" s="412" t="s">
        <v>505</v>
      </c>
      <c r="K712" s="413" t="s">
        <v>506</v>
      </c>
    </row>
    <row r="713" spans="9:11" ht="15">
      <c r="I713" s="414" t="s">
        <v>62</v>
      </c>
      <c r="J713" s="415">
        <v>45</v>
      </c>
      <c r="K713" s="416">
        <v>63948</v>
      </c>
    </row>
    <row r="714" spans="9:11" ht="15">
      <c r="I714" s="414" t="s">
        <v>501</v>
      </c>
      <c r="J714" s="415">
        <v>21</v>
      </c>
      <c r="K714" s="416">
        <v>32551</v>
      </c>
    </row>
    <row r="715" spans="9:11" ht="15">
      <c r="I715" s="414" t="s">
        <v>502</v>
      </c>
      <c r="J715" s="415">
        <v>23</v>
      </c>
      <c r="K715" s="416">
        <v>43216</v>
      </c>
    </row>
    <row r="716" spans="9:11" ht="15">
      <c r="I716" s="414" t="s">
        <v>503</v>
      </c>
      <c r="J716" s="415">
        <v>20</v>
      </c>
      <c r="K716" s="416">
        <v>45699</v>
      </c>
    </row>
    <row r="717" spans="9:11" ht="15">
      <c r="I717" s="414" t="s">
        <v>504</v>
      </c>
      <c r="J717" s="415">
        <v>1</v>
      </c>
      <c r="K717" s="416">
        <v>12550</v>
      </c>
    </row>
    <row r="718" spans="9:11" ht="15.75" thickBot="1">
      <c r="I718" s="417" t="s">
        <v>21</v>
      </c>
      <c r="J718" s="418">
        <f>SUM(J713:J717)</f>
        <v>110</v>
      </c>
      <c r="K718" s="419">
        <f>SUM(K713:K717)</f>
        <v>197964</v>
      </c>
    </row>
    <row r="719" spans="9:11" ht="15" thickBot="1"/>
    <row r="720" spans="9:11" ht="15">
      <c r="I720" s="411">
        <v>2011</v>
      </c>
      <c r="J720" s="412" t="s">
        <v>505</v>
      </c>
      <c r="K720" s="413" t="s">
        <v>506</v>
      </c>
    </row>
    <row r="721" spans="9:11" ht="15">
      <c r="I721" s="414" t="s">
        <v>62</v>
      </c>
      <c r="J721" s="415">
        <v>58</v>
      </c>
      <c r="K721" s="416">
        <v>94348</v>
      </c>
    </row>
    <row r="722" spans="9:11" ht="15">
      <c r="I722" s="414" t="s">
        <v>501</v>
      </c>
      <c r="J722" s="415">
        <v>22</v>
      </c>
      <c r="K722" s="416">
        <v>39480</v>
      </c>
    </row>
    <row r="723" spans="9:11" ht="15">
      <c r="I723" s="414" t="s">
        <v>502</v>
      </c>
      <c r="J723" s="415">
        <v>27</v>
      </c>
      <c r="K723" s="416">
        <v>72194</v>
      </c>
    </row>
    <row r="724" spans="9:11" ht="15">
      <c r="I724" s="414" t="s">
        <v>503</v>
      </c>
      <c r="J724" s="415">
        <v>17</v>
      </c>
      <c r="K724" s="416">
        <v>30561</v>
      </c>
    </row>
    <row r="725" spans="9:11" ht="15">
      <c r="I725" s="414" t="s">
        <v>504</v>
      </c>
      <c r="J725" s="415">
        <v>1</v>
      </c>
      <c r="K725" s="416">
        <v>12550</v>
      </c>
    </row>
    <row r="726" spans="9:11" ht="15.75" thickBot="1">
      <c r="I726" s="417" t="s">
        <v>21</v>
      </c>
      <c r="J726" s="418">
        <f>SUM(J721:J725)</f>
        <v>125</v>
      </c>
      <c r="K726" s="419">
        <f>SUM(K721:K725)</f>
        <v>249133</v>
      </c>
    </row>
    <row r="727" spans="9:11" ht="15" thickBot="1"/>
    <row r="728" spans="9:11" ht="15">
      <c r="I728" s="411">
        <v>2012</v>
      </c>
      <c r="J728" s="412" t="s">
        <v>505</v>
      </c>
      <c r="K728" s="413" t="s">
        <v>506</v>
      </c>
    </row>
    <row r="729" spans="9:11" ht="15">
      <c r="I729" s="414" t="s">
        <v>62</v>
      </c>
      <c r="J729" s="415">
        <v>81</v>
      </c>
      <c r="K729" s="416">
        <v>94348</v>
      </c>
    </row>
    <row r="730" spans="9:11" ht="15">
      <c r="I730" s="414" t="s">
        <v>501</v>
      </c>
      <c r="J730" s="415">
        <v>4</v>
      </c>
      <c r="K730" s="416">
        <v>39480</v>
      </c>
    </row>
    <row r="731" spans="9:11" ht="15">
      <c r="I731" s="414" t="s">
        <v>502</v>
      </c>
      <c r="J731" s="415">
        <v>27</v>
      </c>
      <c r="K731" s="416">
        <v>72194</v>
      </c>
    </row>
    <row r="732" spans="9:11" ht="15">
      <c r="I732" s="414" t="s">
        <v>503</v>
      </c>
      <c r="J732" s="415">
        <v>24</v>
      </c>
      <c r="K732" s="416">
        <v>30561</v>
      </c>
    </row>
    <row r="733" spans="9:11" ht="15" hidden="1">
      <c r="I733" s="414" t="s">
        <v>504</v>
      </c>
      <c r="J733" s="415">
        <v>0</v>
      </c>
      <c r="K733" s="416">
        <v>12550</v>
      </c>
    </row>
    <row r="734" spans="9:11" ht="15.75" thickBot="1">
      <c r="I734" s="417" t="s">
        <v>21</v>
      </c>
      <c r="J734" s="418">
        <f>SUM(J729:J733)</f>
        <v>136</v>
      </c>
      <c r="K734" s="419">
        <f>SUM(K729:K733)</f>
        <v>249133</v>
      </c>
    </row>
    <row r="736" spans="9:11" ht="15" thickBot="1"/>
    <row r="737" spans="9:11" ht="15">
      <c r="I737" s="420">
        <v>2013</v>
      </c>
      <c r="J737" s="421" t="s">
        <v>505</v>
      </c>
      <c r="K737" s="422" t="s">
        <v>506</v>
      </c>
    </row>
    <row r="738" spans="9:11" ht="15">
      <c r="I738" s="423" t="s">
        <v>503</v>
      </c>
      <c r="J738" s="424">
        <v>32</v>
      </c>
      <c r="K738" s="425">
        <v>15239515.5</v>
      </c>
    </row>
    <row r="739" spans="9:11" ht="15">
      <c r="I739" s="423" t="s">
        <v>501</v>
      </c>
      <c r="J739" s="424">
        <v>6</v>
      </c>
      <c r="K739" s="426">
        <v>8563150</v>
      </c>
    </row>
    <row r="740" spans="9:11" ht="15">
      <c r="I740" s="423" t="s">
        <v>502</v>
      </c>
      <c r="J740" s="424">
        <v>20</v>
      </c>
      <c r="K740" s="427">
        <v>18087557.609999999</v>
      </c>
    </row>
    <row r="741" spans="9:11" ht="15">
      <c r="I741" s="423" t="s">
        <v>62</v>
      </c>
      <c r="J741" s="424">
        <v>84</v>
      </c>
      <c r="K741" s="427">
        <v>60791567.600000001</v>
      </c>
    </row>
    <row r="742" spans="9:11" ht="15.75" thickBot="1">
      <c r="I742" s="428" t="s">
        <v>21</v>
      </c>
      <c r="J742" s="424">
        <v>142</v>
      </c>
      <c r="K742" s="429">
        <v>102681790.71000001</v>
      </c>
    </row>
  </sheetData>
  <mergeCells count="9">
    <mergeCell ref="Q400:V400"/>
    <mergeCell ref="N412:S412"/>
    <mergeCell ref="I697:I698"/>
    <mergeCell ref="L697:L698"/>
    <mergeCell ref="J697:J698"/>
    <mergeCell ref="K697:K698"/>
    <mergeCell ref="I688:I689"/>
    <mergeCell ref="J688:J689"/>
    <mergeCell ref="L688:L689"/>
  </mergeCells>
  <phoneticPr fontId="5" type="noConversion"/>
  <pageMargins left="0.25" right="0.28000000000000003" top="1" bottom="1" header="0" footer="0"/>
  <pageSetup scale="85" orientation="landscape" horizontalDpi="4294967293" r:id="rId1"/>
  <headerFooter alignWithMargins="0"/>
  <ignoredErrors>
    <ignoredError sqref="J20:P20 J95:P95 J582:K582 J595:K595 J605:K605 M582 M595 M605:T605 J55:W56 O595:T595 J37:P42 Q37:Q42 J51:P54 Q51:Q54 J63:W63 J57:P62 Q57:Q62" numberStoredAsText="1"/>
    <ignoredError sqref="Q26 T602 Q88 W341:X34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7" enableFormatConditionsCalculation="0">
    <tabColor indexed="10"/>
  </sheetPr>
  <dimension ref="A1:K23"/>
  <sheetViews>
    <sheetView zoomScale="40" workbookViewId="0">
      <selection activeCell="D15" sqref="D15"/>
    </sheetView>
  </sheetViews>
  <sheetFormatPr baseColWidth="10" defaultRowHeight="12.75"/>
  <cols>
    <col min="1" max="1" width="18.5703125" customWidth="1"/>
  </cols>
  <sheetData>
    <row r="1" spans="1:11" ht="15" thickBot="1">
      <c r="A1" s="447" t="s">
        <v>231</v>
      </c>
      <c r="B1" s="459">
        <v>2001</v>
      </c>
      <c r="C1" s="460"/>
      <c r="D1" s="459">
        <v>2002</v>
      </c>
      <c r="E1" s="460"/>
      <c r="F1" s="459">
        <v>2003</v>
      </c>
      <c r="G1" s="460"/>
      <c r="H1" s="457">
        <v>2004</v>
      </c>
      <c r="I1" s="458"/>
      <c r="J1" s="457">
        <v>2005</v>
      </c>
      <c r="K1" s="458"/>
    </row>
    <row r="2" spans="1:11" ht="14.25">
      <c r="A2" s="448"/>
      <c r="B2" s="70" t="s">
        <v>232</v>
      </c>
      <c r="C2" s="70" t="s">
        <v>234</v>
      </c>
      <c r="D2" s="70" t="s">
        <v>232</v>
      </c>
      <c r="E2" s="70" t="s">
        <v>234</v>
      </c>
      <c r="F2" s="70" t="s">
        <v>232</v>
      </c>
      <c r="G2" s="70" t="s">
        <v>234</v>
      </c>
      <c r="H2" s="70" t="s">
        <v>232</v>
      </c>
      <c r="I2" s="70" t="s">
        <v>234</v>
      </c>
      <c r="J2" s="70" t="s">
        <v>232</v>
      </c>
      <c r="K2" s="70" t="s">
        <v>234</v>
      </c>
    </row>
    <row r="3" spans="1:11" ht="15" thickBot="1">
      <c r="A3" s="449"/>
      <c r="B3" s="71" t="s">
        <v>233</v>
      </c>
      <c r="C3" s="71" t="s">
        <v>235</v>
      </c>
      <c r="D3" s="71" t="s">
        <v>233</v>
      </c>
      <c r="E3" s="71" t="s">
        <v>235</v>
      </c>
      <c r="F3" s="71" t="s">
        <v>233</v>
      </c>
      <c r="G3" s="71" t="s">
        <v>235</v>
      </c>
      <c r="H3" s="71" t="s">
        <v>233</v>
      </c>
      <c r="I3" s="71" t="s">
        <v>235</v>
      </c>
      <c r="J3" s="71" t="s">
        <v>233</v>
      </c>
      <c r="K3" s="71" t="s">
        <v>235</v>
      </c>
    </row>
    <row r="4" spans="1:11" ht="184.5" customHeight="1">
      <c r="A4" s="452" t="s">
        <v>236</v>
      </c>
      <c r="B4" s="72" t="s">
        <v>237</v>
      </c>
      <c r="C4" s="72" t="s">
        <v>238</v>
      </c>
      <c r="D4" s="72" t="s">
        <v>239</v>
      </c>
      <c r="E4" s="72" t="s">
        <v>240</v>
      </c>
      <c r="F4" s="72" t="s">
        <v>241</v>
      </c>
      <c r="G4" s="72" t="s">
        <v>242</v>
      </c>
      <c r="H4" s="72" t="s">
        <v>240</v>
      </c>
      <c r="I4" s="72" t="s">
        <v>243</v>
      </c>
      <c r="J4" s="70" t="s">
        <v>244</v>
      </c>
      <c r="K4" s="447" t="s">
        <v>245</v>
      </c>
    </row>
    <row r="5" spans="1:11" ht="15" thickBot="1">
      <c r="A5" s="453"/>
      <c r="B5" s="73">
        <v>0.9</v>
      </c>
      <c r="C5" s="73">
        <v>1</v>
      </c>
      <c r="D5" s="73">
        <v>1</v>
      </c>
      <c r="E5" s="73">
        <v>1.1000000000000001</v>
      </c>
      <c r="F5" s="73">
        <v>1.1000000000000001</v>
      </c>
      <c r="G5" s="73">
        <v>1.4</v>
      </c>
      <c r="H5" s="73">
        <v>1.1000000000000001</v>
      </c>
      <c r="I5" s="73">
        <v>1.6</v>
      </c>
      <c r="J5" s="73">
        <v>1.7</v>
      </c>
      <c r="K5" s="449"/>
    </row>
    <row r="6" spans="1:11" ht="184.5" customHeight="1">
      <c r="A6" s="450" t="s">
        <v>246</v>
      </c>
      <c r="B6" s="72" t="s">
        <v>247</v>
      </c>
      <c r="C6" s="72" t="s">
        <v>248</v>
      </c>
      <c r="D6" s="72" t="s">
        <v>239</v>
      </c>
      <c r="E6" s="72" t="s">
        <v>249</v>
      </c>
      <c r="F6" s="72" t="s">
        <v>250</v>
      </c>
      <c r="G6" s="72" t="s">
        <v>251</v>
      </c>
      <c r="H6" s="72" t="s">
        <v>252</v>
      </c>
      <c r="I6" s="72" t="s">
        <v>253</v>
      </c>
      <c r="J6" s="70" t="s">
        <v>254</v>
      </c>
      <c r="K6" s="70" t="s">
        <v>255</v>
      </c>
    </row>
    <row r="7" spans="1:11" ht="15" thickBot="1">
      <c r="A7" s="451"/>
      <c r="B7" s="73">
        <v>0.6</v>
      </c>
      <c r="C7" s="73">
        <v>1.1000000000000001</v>
      </c>
      <c r="D7" s="73">
        <v>1</v>
      </c>
      <c r="E7" s="73">
        <v>1</v>
      </c>
      <c r="F7" s="73">
        <v>1</v>
      </c>
      <c r="G7" s="73">
        <v>1.4</v>
      </c>
      <c r="H7" s="73">
        <v>1</v>
      </c>
      <c r="I7" s="73">
        <v>2</v>
      </c>
      <c r="J7" s="73">
        <v>1.1000000000000001</v>
      </c>
      <c r="K7" s="73">
        <v>1.4</v>
      </c>
    </row>
    <row r="8" spans="1:11" ht="84.75" customHeight="1">
      <c r="A8" s="450" t="s">
        <v>114</v>
      </c>
      <c r="B8" s="72" t="s">
        <v>256</v>
      </c>
      <c r="C8" s="72" t="s">
        <v>257</v>
      </c>
      <c r="D8" s="72" t="s">
        <v>258</v>
      </c>
      <c r="E8" s="72" t="s">
        <v>259</v>
      </c>
      <c r="F8" s="72" t="s">
        <v>260</v>
      </c>
      <c r="G8" s="72" t="s">
        <v>261</v>
      </c>
      <c r="H8" s="72" t="s">
        <v>262</v>
      </c>
      <c r="I8" s="72" t="s">
        <v>263</v>
      </c>
      <c r="J8" s="447" t="s">
        <v>264</v>
      </c>
      <c r="K8" s="447" t="s">
        <v>265</v>
      </c>
    </row>
    <row r="9" spans="1:11" ht="15" thickBot="1">
      <c r="A9" s="451"/>
      <c r="B9" s="73">
        <v>63.2</v>
      </c>
      <c r="C9" s="73">
        <v>55.3</v>
      </c>
      <c r="D9" s="73">
        <v>60</v>
      </c>
      <c r="E9" s="73">
        <v>67.599999999999994</v>
      </c>
      <c r="F9" s="73">
        <v>64.3</v>
      </c>
      <c r="G9" s="73">
        <v>80.599999999999994</v>
      </c>
      <c r="H9" s="73">
        <v>81.099999999999994</v>
      </c>
      <c r="I9" s="73">
        <v>97.1</v>
      </c>
      <c r="J9" s="449"/>
      <c r="K9" s="449"/>
    </row>
    <row r="10" spans="1:11" ht="143.25" thickBot="1">
      <c r="A10" s="74" t="s">
        <v>123</v>
      </c>
      <c r="B10" s="73" t="s">
        <v>266</v>
      </c>
      <c r="C10" s="73" t="s">
        <v>267</v>
      </c>
      <c r="D10" s="73" t="s">
        <v>268</v>
      </c>
      <c r="E10" s="73" t="s">
        <v>269</v>
      </c>
      <c r="F10" s="73" t="s">
        <v>270</v>
      </c>
      <c r="G10" s="73" t="s">
        <v>271</v>
      </c>
      <c r="H10" s="73" t="s">
        <v>272</v>
      </c>
      <c r="I10" s="73" t="s">
        <v>273</v>
      </c>
      <c r="J10" s="71" t="s">
        <v>274</v>
      </c>
      <c r="K10" s="71" t="s">
        <v>275</v>
      </c>
    </row>
    <row r="11" spans="1:11" ht="241.5" customHeight="1">
      <c r="A11" s="450" t="s">
        <v>131</v>
      </c>
      <c r="B11" s="72" t="s">
        <v>276</v>
      </c>
      <c r="C11" s="72" t="s">
        <v>278</v>
      </c>
      <c r="D11" s="452" t="s">
        <v>134</v>
      </c>
      <c r="E11" s="72" t="s">
        <v>280</v>
      </c>
      <c r="F11" s="72" t="s">
        <v>282</v>
      </c>
      <c r="G11" s="72" t="s">
        <v>284</v>
      </c>
      <c r="H11" s="72" t="s">
        <v>286</v>
      </c>
      <c r="I11" s="72" t="s">
        <v>287</v>
      </c>
      <c r="J11" s="447" t="s">
        <v>288</v>
      </c>
      <c r="K11" s="447" t="s">
        <v>289</v>
      </c>
    </row>
    <row r="12" spans="1:11" ht="15" thickBot="1">
      <c r="A12" s="451"/>
      <c r="B12" s="73" t="s">
        <v>277</v>
      </c>
      <c r="C12" s="73" t="s">
        <v>279</v>
      </c>
      <c r="D12" s="453"/>
      <c r="E12" s="73" t="s">
        <v>281</v>
      </c>
      <c r="F12" s="73" t="s">
        <v>283</v>
      </c>
      <c r="G12" s="73" t="s">
        <v>285</v>
      </c>
      <c r="H12" s="73" t="s">
        <v>283</v>
      </c>
      <c r="I12" s="73" t="s">
        <v>283</v>
      </c>
      <c r="J12" s="449"/>
      <c r="K12" s="449"/>
    </row>
    <row r="13" spans="1:11" ht="284.25" customHeight="1">
      <c r="A13" s="450" t="s">
        <v>138</v>
      </c>
      <c r="B13" s="452" t="s">
        <v>290</v>
      </c>
      <c r="C13" s="72" t="s">
        <v>291</v>
      </c>
      <c r="D13" s="72" t="s">
        <v>292</v>
      </c>
      <c r="E13" s="72" t="s">
        <v>293</v>
      </c>
      <c r="F13" s="72" t="s">
        <v>294</v>
      </c>
      <c r="G13" s="72" t="s">
        <v>295</v>
      </c>
      <c r="H13" s="72" t="s">
        <v>296</v>
      </c>
      <c r="I13" s="72" t="s">
        <v>297</v>
      </c>
      <c r="J13" s="70" t="s">
        <v>298</v>
      </c>
      <c r="K13" s="70" t="s">
        <v>299</v>
      </c>
    </row>
    <row r="14" spans="1:11" ht="15" thickBot="1">
      <c r="A14" s="451"/>
      <c r="B14" s="453"/>
      <c r="C14" s="73">
        <v>56</v>
      </c>
      <c r="D14" s="73">
        <v>62.9</v>
      </c>
      <c r="E14" s="73">
        <v>61.4</v>
      </c>
      <c r="F14" s="73">
        <v>72.2</v>
      </c>
      <c r="G14" s="73">
        <v>55.6</v>
      </c>
      <c r="H14" s="73">
        <v>63.2</v>
      </c>
      <c r="I14" s="73">
        <v>47.4</v>
      </c>
      <c r="J14" s="71">
        <v>78.3</v>
      </c>
      <c r="K14" s="73">
        <v>65.2</v>
      </c>
    </row>
    <row r="15" spans="1:11" ht="284.25" customHeight="1">
      <c r="A15" s="450" t="s">
        <v>142</v>
      </c>
      <c r="B15" s="452" t="s">
        <v>290</v>
      </c>
      <c r="C15" s="72" t="s">
        <v>300</v>
      </c>
      <c r="D15" s="72" t="s">
        <v>301</v>
      </c>
      <c r="E15" s="72" t="s">
        <v>302</v>
      </c>
      <c r="F15" s="72" t="s">
        <v>303</v>
      </c>
      <c r="G15" s="72" t="s">
        <v>303</v>
      </c>
      <c r="H15" s="72" t="s">
        <v>304</v>
      </c>
      <c r="I15" s="72" t="s">
        <v>304</v>
      </c>
      <c r="J15" s="70" t="s">
        <v>305</v>
      </c>
      <c r="K15" s="70" t="s">
        <v>306</v>
      </c>
    </row>
    <row r="16" spans="1:11" ht="15" thickBot="1">
      <c r="A16" s="451"/>
      <c r="B16" s="453"/>
      <c r="C16" s="73">
        <v>57.1</v>
      </c>
      <c r="D16" s="73">
        <v>48.6</v>
      </c>
      <c r="E16" s="73">
        <v>57.1</v>
      </c>
      <c r="F16" s="73">
        <v>56.3</v>
      </c>
      <c r="G16" s="73">
        <v>56.3</v>
      </c>
      <c r="H16" s="73">
        <v>58.3</v>
      </c>
      <c r="I16" s="73">
        <v>58.3</v>
      </c>
      <c r="J16" s="73">
        <v>76.2</v>
      </c>
      <c r="K16" s="71">
        <v>66.7</v>
      </c>
    </row>
    <row r="17" spans="1:11" ht="126.75" customHeight="1">
      <c r="A17" s="450" t="s">
        <v>145</v>
      </c>
      <c r="B17" s="75" t="s">
        <v>307</v>
      </c>
      <c r="C17" s="75" t="s">
        <v>307</v>
      </c>
      <c r="D17" s="75" t="s">
        <v>308</v>
      </c>
      <c r="E17" s="455" t="s">
        <v>309</v>
      </c>
      <c r="F17" s="75" t="s">
        <v>310</v>
      </c>
      <c r="G17" s="75" t="s">
        <v>311</v>
      </c>
      <c r="H17" s="75" t="s">
        <v>312</v>
      </c>
      <c r="I17" s="75" t="s">
        <v>313</v>
      </c>
      <c r="J17" s="447" t="s">
        <v>314</v>
      </c>
      <c r="K17" s="447" t="s">
        <v>315</v>
      </c>
    </row>
    <row r="18" spans="1:11" ht="15.75" thickBot="1">
      <c r="A18" s="451"/>
      <c r="B18" s="76">
        <v>86.8</v>
      </c>
      <c r="C18" s="76">
        <v>86.8</v>
      </c>
      <c r="D18" s="76">
        <v>87.5</v>
      </c>
      <c r="E18" s="456"/>
      <c r="F18" s="76">
        <v>92.9</v>
      </c>
      <c r="G18" s="76">
        <v>94.4</v>
      </c>
      <c r="H18" s="76">
        <v>91.9</v>
      </c>
      <c r="I18" s="76">
        <v>97.1</v>
      </c>
      <c r="J18" s="449"/>
      <c r="K18" s="449"/>
    </row>
    <row r="19" spans="1:11" ht="156" customHeight="1">
      <c r="A19" s="450" t="s">
        <v>151</v>
      </c>
      <c r="B19" s="70" t="s">
        <v>316</v>
      </c>
      <c r="C19" s="70" t="s">
        <v>316</v>
      </c>
      <c r="D19" s="70" t="s">
        <v>316</v>
      </c>
      <c r="E19" s="70" t="s">
        <v>316</v>
      </c>
      <c r="F19" s="70" t="s">
        <v>316</v>
      </c>
      <c r="G19" s="70" t="s">
        <v>316</v>
      </c>
      <c r="H19" s="70" t="s">
        <v>316</v>
      </c>
      <c r="I19" s="70" t="s">
        <v>316</v>
      </c>
      <c r="J19" s="447" t="s">
        <v>153</v>
      </c>
      <c r="K19" s="447" t="s">
        <v>318</v>
      </c>
    </row>
    <row r="20" spans="1:11" ht="14.25">
      <c r="A20" s="454"/>
      <c r="B20" s="70" t="s">
        <v>317</v>
      </c>
      <c r="C20" s="70" t="s">
        <v>317</v>
      </c>
      <c r="D20" s="70" t="s">
        <v>317</v>
      </c>
      <c r="E20" s="70" t="s">
        <v>317</v>
      </c>
      <c r="F20" s="70" t="s">
        <v>317</v>
      </c>
      <c r="G20" s="70" t="s">
        <v>317</v>
      </c>
      <c r="H20" s="70" t="s">
        <v>317</v>
      </c>
      <c r="I20" s="70" t="s">
        <v>317</v>
      </c>
      <c r="J20" s="448"/>
      <c r="K20" s="448"/>
    </row>
    <row r="21" spans="1:11" ht="15" thickBot="1">
      <c r="A21" s="451"/>
      <c r="B21" s="71">
        <v>100</v>
      </c>
      <c r="C21" s="71">
        <v>100</v>
      </c>
      <c r="D21" s="71">
        <v>100</v>
      </c>
      <c r="E21" s="71">
        <v>100</v>
      </c>
      <c r="F21" s="71">
        <v>100</v>
      </c>
      <c r="G21" s="71">
        <v>100</v>
      </c>
      <c r="H21" s="71">
        <v>100</v>
      </c>
      <c r="I21" s="71">
        <v>100</v>
      </c>
      <c r="J21" s="449"/>
      <c r="K21" s="449"/>
    </row>
    <row r="22" spans="1:11" ht="45.75" thickBot="1">
      <c r="A22" s="74" t="s">
        <v>319</v>
      </c>
      <c r="B22" s="71" t="s">
        <v>320</v>
      </c>
      <c r="C22" s="71" t="s">
        <v>321</v>
      </c>
      <c r="D22" s="71" t="s">
        <v>322</v>
      </c>
      <c r="E22" s="71" t="s">
        <v>323</v>
      </c>
      <c r="F22" s="71" t="s">
        <v>324</v>
      </c>
      <c r="G22" s="71" t="s">
        <v>325</v>
      </c>
      <c r="H22" s="71" t="s">
        <v>326</v>
      </c>
      <c r="I22" s="71" t="s">
        <v>327</v>
      </c>
      <c r="J22" s="71" t="s">
        <v>328</v>
      </c>
      <c r="K22" s="71" t="s">
        <v>329</v>
      </c>
    </row>
    <row r="23" spans="1:11" ht="60" thickBot="1">
      <c r="A23" s="74" t="s">
        <v>330</v>
      </c>
      <c r="B23" s="71" t="s">
        <v>331</v>
      </c>
      <c r="C23" s="71" t="s">
        <v>332</v>
      </c>
      <c r="D23" s="71" t="s">
        <v>165</v>
      </c>
      <c r="E23" s="71" t="s">
        <v>166</v>
      </c>
      <c r="F23" s="71" t="s">
        <v>167</v>
      </c>
      <c r="G23" s="71" t="s">
        <v>168</v>
      </c>
      <c r="H23" s="71" t="s">
        <v>197</v>
      </c>
      <c r="I23" s="71" t="s">
        <v>95</v>
      </c>
      <c r="J23" s="71" t="s">
        <v>333</v>
      </c>
      <c r="K23" s="71" t="s">
        <v>333</v>
      </c>
    </row>
  </sheetData>
  <mergeCells count="27">
    <mergeCell ref="A6:A7"/>
    <mergeCell ref="A8:A9"/>
    <mergeCell ref="J8:J9"/>
    <mergeCell ref="H1:I1"/>
    <mergeCell ref="J1:K1"/>
    <mergeCell ref="A4:A5"/>
    <mergeCell ref="K4:K5"/>
    <mergeCell ref="A1:A3"/>
    <mergeCell ref="B1:C1"/>
    <mergeCell ref="D1:E1"/>
    <mergeCell ref="F1:G1"/>
    <mergeCell ref="K8:K9"/>
    <mergeCell ref="K19:K21"/>
    <mergeCell ref="A11:A12"/>
    <mergeCell ref="D11:D12"/>
    <mergeCell ref="J11:J12"/>
    <mergeCell ref="K11:K12"/>
    <mergeCell ref="K17:K18"/>
    <mergeCell ref="A13:A14"/>
    <mergeCell ref="B13:B14"/>
    <mergeCell ref="A15:A16"/>
    <mergeCell ref="B15:B16"/>
    <mergeCell ref="A19:A21"/>
    <mergeCell ref="A17:A18"/>
    <mergeCell ref="E17:E18"/>
    <mergeCell ref="J17:J18"/>
    <mergeCell ref="J19:J21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8" enableFormatConditionsCalculation="0">
    <tabColor indexed="10"/>
  </sheetPr>
  <dimension ref="B2:T111"/>
  <sheetViews>
    <sheetView topLeftCell="B50" zoomScale="70" workbookViewId="0">
      <pane xSplit="2" ySplit="15" topLeftCell="D65" activePane="bottomRight" state="frozen"/>
      <selection activeCell="B50" sqref="B50"/>
      <selection pane="topRight" activeCell="D50" sqref="D50"/>
      <selection pane="bottomLeft" activeCell="B65" sqref="B65"/>
      <selection pane="bottomRight" activeCell="I73" sqref="I73"/>
    </sheetView>
  </sheetViews>
  <sheetFormatPr baseColWidth="10" defaultRowHeight="15"/>
  <cols>
    <col min="1" max="1" width="1.85546875" style="3" customWidth="1"/>
    <col min="2" max="2" width="63.7109375" style="3" customWidth="1"/>
    <col min="3" max="3" width="67.42578125" style="3" customWidth="1"/>
    <col min="4" max="4" width="18" style="4" customWidth="1"/>
    <col min="5" max="5" width="15.140625" style="3" customWidth="1"/>
    <col min="6" max="6" width="13.5703125" style="3" customWidth="1"/>
    <col min="7" max="7" width="18.5703125" style="3" customWidth="1"/>
    <col min="8" max="8" width="16.7109375" style="3" customWidth="1"/>
    <col min="9" max="9" width="23.140625" style="3" customWidth="1"/>
    <col min="10" max="10" width="20" style="3" customWidth="1"/>
    <col min="11" max="11" width="15.7109375" style="3" customWidth="1"/>
    <col min="12" max="12" width="15" style="3" customWidth="1"/>
    <col min="13" max="13" width="16.5703125" customWidth="1"/>
    <col min="14" max="14" width="13.7109375" customWidth="1"/>
    <col min="15" max="15" width="15.28515625" bestFit="1" customWidth="1"/>
    <col min="16" max="16" width="18.5703125" bestFit="1" customWidth="1"/>
    <col min="17" max="20" width="13.7109375" customWidth="1"/>
    <col min="21" max="16384" width="11.42578125" style="3"/>
  </cols>
  <sheetData>
    <row r="2" spans="2:12" ht="15.75">
      <c r="B2" s="11" t="s">
        <v>96</v>
      </c>
    </row>
    <row r="3" spans="2:12" ht="15.75">
      <c r="B3" s="12" t="s">
        <v>97</v>
      </c>
      <c r="F3" s="5"/>
    </row>
    <row r="4" spans="2:12" ht="15.75" thickBot="1">
      <c r="H4" s="5"/>
    </row>
    <row r="5" spans="2:12" ht="16.5" thickTop="1">
      <c r="B5" s="461" t="s">
        <v>98</v>
      </c>
      <c r="C5" s="463" t="s">
        <v>84</v>
      </c>
      <c r="D5" s="470" t="s">
        <v>99</v>
      </c>
      <c r="E5" s="472">
        <v>2001</v>
      </c>
      <c r="F5" s="473"/>
      <c r="G5" s="480">
        <v>2002</v>
      </c>
      <c r="H5" s="481"/>
      <c r="I5" s="477">
        <v>2003</v>
      </c>
      <c r="J5" s="478"/>
      <c r="L5" s="12"/>
    </row>
    <row r="6" spans="2:12" ht="16.5" thickBot="1">
      <c r="B6" s="462"/>
      <c r="C6" s="464"/>
      <c r="D6" s="471"/>
      <c r="E6" s="84" t="s">
        <v>100</v>
      </c>
      <c r="F6" s="85" t="s">
        <v>101</v>
      </c>
      <c r="G6" s="86" t="s">
        <v>100</v>
      </c>
      <c r="H6" s="91" t="s">
        <v>101</v>
      </c>
      <c r="I6" s="84" t="s">
        <v>102</v>
      </c>
      <c r="J6" s="85" t="s">
        <v>101</v>
      </c>
      <c r="L6" s="12"/>
    </row>
    <row r="7" spans="2:12" ht="30.75" thickTop="1">
      <c r="B7" s="469" t="s">
        <v>103</v>
      </c>
      <c r="C7" s="95" t="s">
        <v>104</v>
      </c>
      <c r="D7" s="80" t="s">
        <v>85</v>
      </c>
      <c r="E7" s="474" t="s">
        <v>105</v>
      </c>
      <c r="F7" s="475" t="s">
        <v>106</v>
      </c>
      <c r="G7" s="476" t="s">
        <v>107</v>
      </c>
      <c r="H7" s="479" t="s">
        <v>108</v>
      </c>
      <c r="I7" s="77" t="s">
        <v>109</v>
      </c>
      <c r="J7" s="78" t="s">
        <v>110</v>
      </c>
    </row>
    <row r="8" spans="2:12" ht="30">
      <c r="B8" s="466"/>
      <c r="C8" s="96" t="s">
        <v>111</v>
      </c>
      <c r="D8" s="81" t="s">
        <v>85</v>
      </c>
      <c r="E8" s="474"/>
      <c r="F8" s="475"/>
      <c r="G8" s="476"/>
      <c r="H8" s="479"/>
      <c r="I8" s="77" t="s">
        <v>112</v>
      </c>
      <c r="J8" s="78" t="s">
        <v>113</v>
      </c>
    </row>
    <row r="9" spans="2:12" ht="30">
      <c r="B9" s="467"/>
      <c r="C9" s="96" t="s">
        <v>114</v>
      </c>
      <c r="D9" s="82" t="s">
        <v>115</v>
      </c>
      <c r="E9" s="77" t="s">
        <v>116</v>
      </c>
      <c r="F9" s="78" t="s">
        <v>117</v>
      </c>
      <c r="G9" s="87" t="s">
        <v>118</v>
      </c>
      <c r="H9" s="92" t="s">
        <v>119</v>
      </c>
      <c r="I9" s="77" t="s">
        <v>120</v>
      </c>
      <c r="J9" s="78" t="s">
        <v>121</v>
      </c>
    </row>
    <row r="10" spans="2:12" ht="45">
      <c r="B10" s="466" t="s">
        <v>122</v>
      </c>
      <c r="C10" s="97" t="s">
        <v>123</v>
      </c>
      <c r="D10" s="83" t="s">
        <v>124</v>
      </c>
      <c r="E10" s="77" t="s">
        <v>125</v>
      </c>
      <c r="F10" s="78" t="s">
        <v>126</v>
      </c>
      <c r="G10" s="87" t="s">
        <v>127</v>
      </c>
      <c r="H10" s="92" t="s">
        <v>128</v>
      </c>
      <c r="I10" s="77" t="s">
        <v>129</v>
      </c>
      <c r="J10" s="78" t="s">
        <v>130</v>
      </c>
    </row>
    <row r="11" spans="2:12" ht="45">
      <c r="B11" s="466"/>
      <c r="C11" s="97" t="s">
        <v>131</v>
      </c>
      <c r="D11" s="83" t="s">
        <v>124</v>
      </c>
      <c r="E11" s="77" t="s">
        <v>132</v>
      </c>
      <c r="F11" s="78" t="s">
        <v>133</v>
      </c>
      <c r="G11" s="87" t="s">
        <v>134</v>
      </c>
      <c r="H11" s="92" t="s">
        <v>135</v>
      </c>
      <c r="I11" s="77" t="s">
        <v>136</v>
      </c>
      <c r="J11" s="78" t="s">
        <v>137</v>
      </c>
    </row>
    <row r="12" spans="2:12" ht="45">
      <c r="B12" s="466"/>
      <c r="C12" s="97" t="s">
        <v>138</v>
      </c>
      <c r="D12" s="83" t="s">
        <v>115</v>
      </c>
      <c r="E12" s="79" t="s">
        <v>86</v>
      </c>
      <c r="F12" s="78" t="s">
        <v>139</v>
      </c>
      <c r="G12" s="88" t="s">
        <v>336</v>
      </c>
      <c r="H12" s="93" t="s">
        <v>337</v>
      </c>
      <c r="I12" s="77" t="s">
        <v>140</v>
      </c>
      <c r="J12" s="78" t="s">
        <v>141</v>
      </c>
    </row>
    <row r="13" spans="2:12" ht="45">
      <c r="B13" s="466"/>
      <c r="C13" s="97" t="s">
        <v>142</v>
      </c>
      <c r="D13" s="83" t="s">
        <v>115</v>
      </c>
      <c r="E13" s="79" t="s">
        <v>86</v>
      </c>
      <c r="F13" s="78" t="s">
        <v>143</v>
      </c>
      <c r="G13" s="88" t="s">
        <v>338</v>
      </c>
      <c r="H13" s="93" t="s">
        <v>339</v>
      </c>
      <c r="I13" s="77" t="s">
        <v>144</v>
      </c>
      <c r="J13" s="78" t="s">
        <v>144</v>
      </c>
    </row>
    <row r="14" spans="2:12" ht="30">
      <c r="B14" s="466"/>
      <c r="C14" s="96" t="s">
        <v>145</v>
      </c>
      <c r="D14" s="83" t="s">
        <v>115</v>
      </c>
      <c r="E14" s="77" t="s">
        <v>146</v>
      </c>
      <c r="F14" s="78" t="s">
        <v>146</v>
      </c>
      <c r="G14" s="87" t="s">
        <v>147</v>
      </c>
      <c r="H14" s="92" t="s">
        <v>148</v>
      </c>
      <c r="I14" s="77" t="s">
        <v>149</v>
      </c>
      <c r="J14" s="78" t="s">
        <v>150</v>
      </c>
    </row>
    <row r="15" spans="2:12" ht="32.25" customHeight="1">
      <c r="B15" s="467"/>
      <c r="C15" s="96" t="s">
        <v>151</v>
      </c>
      <c r="D15" s="83" t="s">
        <v>115</v>
      </c>
      <c r="E15" s="77" t="s">
        <v>152</v>
      </c>
      <c r="F15" s="78" t="s">
        <v>152</v>
      </c>
      <c r="G15" s="87" t="s">
        <v>153</v>
      </c>
      <c r="H15" s="92" t="s">
        <v>153</v>
      </c>
      <c r="I15" s="77" t="s">
        <v>153</v>
      </c>
      <c r="J15" s="78" t="s">
        <v>153</v>
      </c>
    </row>
    <row r="16" spans="2:12" ht="32.25" customHeight="1">
      <c r="B16" s="468" t="s">
        <v>154</v>
      </c>
      <c r="C16" s="97" t="s">
        <v>155</v>
      </c>
      <c r="D16" s="83" t="s">
        <v>115</v>
      </c>
      <c r="E16" s="77" t="s">
        <v>156</v>
      </c>
      <c r="F16" s="78" t="s">
        <v>157</v>
      </c>
      <c r="G16" s="87" t="s">
        <v>158</v>
      </c>
      <c r="H16" s="92" t="s">
        <v>159</v>
      </c>
      <c r="I16" s="77" t="s">
        <v>160</v>
      </c>
      <c r="J16" s="78" t="s">
        <v>161</v>
      </c>
    </row>
    <row r="17" spans="2:17" ht="33" customHeight="1">
      <c r="B17" s="467"/>
      <c r="C17" s="96" t="s">
        <v>162</v>
      </c>
      <c r="D17" s="83" t="s">
        <v>115</v>
      </c>
      <c r="E17" s="77" t="s">
        <v>163</v>
      </c>
      <c r="F17" s="78" t="s">
        <v>164</v>
      </c>
      <c r="G17" s="87" t="s">
        <v>165</v>
      </c>
      <c r="H17" s="92" t="s">
        <v>166</v>
      </c>
      <c r="I17" s="77" t="s">
        <v>167</v>
      </c>
      <c r="J17" s="78" t="s">
        <v>168</v>
      </c>
    </row>
    <row r="18" spans="2:17" ht="16.5" thickBot="1">
      <c r="B18" s="94" t="s">
        <v>32</v>
      </c>
      <c r="C18" s="89"/>
      <c r="D18" s="98"/>
      <c r="E18" s="89"/>
      <c r="F18" s="90"/>
      <c r="G18" s="99"/>
      <c r="H18" s="98"/>
      <c r="I18" s="89"/>
      <c r="J18" s="90"/>
    </row>
    <row r="19" spans="2:17" ht="15.75" thickTop="1">
      <c r="B19" s="3" t="s">
        <v>169</v>
      </c>
    </row>
    <row r="20" spans="2:17">
      <c r="B20" s="3" t="s">
        <v>170</v>
      </c>
    </row>
    <row r="21" spans="2:17">
      <c r="B21" s="3" t="s">
        <v>171</v>
      </c>
    </row>
    <row r="22" spans="2:17" ht="15.75" thickBot="1"/>
    <row r="23" spans="2:17" ht="16.5" thickTop="1">
      <c r="B23" s="7" t="s">
        <v>84</v>
      </c>
    </row>
    <row r="24" spans="2:17" ht="31.5">
      <c r="B24" s="22"/>
      <c r="C24" s="25" t="s">
        <v>172</v>
      </c>
      <c r="D24" s="25" t="s">
        <v>173</v>
      </c>
      <c r="E24" s="25" t="s">
        <v>174</v>
      </c>
      <c r="F24" s="25" t="s">
        <v>175</v>
      </c>
      <c r="G24" s="25" t="s">
        <v>176</v>
      </c>
      <c r="H24" s="25" t="s">
        <v>177</v>
      </c>
      <c r="I24" s="25" t="s">
        <v>178</v>
      </c>
      <c r="J24" s="25" t="s">
        <v>179</v>
      </c>
      <c r="K24" s="25" t="s">
        <v>201</v>
      </c>
      <c r="L24" s="25" t="s">
        <v>202</v>
      </c>
      <c r="M24" s="25" t="s">
        <v>221</v>
      </c>
      <c r="N24" s="25" t="s">
        <v>222</v>
      </c>
      <c r="P24" s="36"/>
      <c r="Q24" s="47"/>
    </row>
    <row r="25" spans="2:17" ht="30">
      <c r="B25" s="21" t="s">
        <v>180</v>
      </c>
      <c r="C25" s="26">
        <f>33/38</f>
        <v>0.86842105263157898</v>
      </c>
      <c r="D25" s="26">
        <f>37/38</f>
        <v>0.97368421052631582</v>
      </c>
      <c r="E25" s="26">
        <f>40/40</f>
        <v>1</v>
      </c>
      <c r="F25" s="26">
        <f>42/37</f>
        <v>1.1351351351351351</v>
      </c>
      <c r="G25" s="26">
        <f>45/42</f>
        <v>1.0714285714285714</v>
      </c>
      <c r="H25" s="26">
        <f>49/36</f>
        <v>1.3611111111111112</v>
      </c>
      <c r="I25" s="27">
        <f>42/37</f>
        <v>1.1351351351351351</v>
      </c>
      <c r="J25" s="27">
        <f>57/35</f>
        <v>1.6285714285714286</v>
      </c>
      <c r="K25" s="28">
        <f>63/37</f>
        <v>1.7027027027027026</v>
      </c>
      <c r="L25" s="29">
        <f>67/36</f>
        <v>1.8611111111111112</v>
      </c>
      <c r="M25" s="32">
        <f>80/42</f>
        <v>1.9047619047619047</v>
      </c>
      <c r="N25" s="32">
        <f>66/35</f>
        <v>1.8857142857142857</v>
      </c>
      <c r="P25" s="48"/>
      <c r="Q25" s="48"/>
    </row>
    <row r="26" spans="2:17" ht="30">
      <c r="B26" s="21" t="s">
        <v>181</v>
      </c>
      <c r="C26" s="26">
        <f>24/38</f>
        <v>0.63157894736842102</v>
      </c>
      <c r="D26" s="26">
        <f>41/38</f>
        <v>1.0789473684210527</v>
      </c>
      <c r="E26" s="26">
        <f>40/40</f>
        <v>1</v>
      </c>
      <c r="F26" s="26">
        <f>37/37</f>
        <v>1</v>
      </c>
      <c r="G26" s="26">
        <f>43/42</f>
        <v>1.0238095238095237</v>
      </c>
      <c r="H26" s="26">
        <f>52/36</f>
        <v>1.4444444444444444</v>
      </c>
      <c r="I26" s="27">
        <f>36/37</f>
        <v>0.97297297297297303</v>
      </c>
      <c r="J26" s="27">
        <f>68/35</f>
        <v>1.9428571428571428</v>
      </c>
      <c r="K26" s="28">
        <f>40/37</f>
        <v>1.0810810810810811</v>
      </c>
      <c r="L26" s="29">
        <f>59/36</f>
        <v>1.6388888888888888</v>
      </c>
      <c r="M26" s="32">
        <f>45/42</f>
        <v>1.0714285714285714</v>
      </c>
      <c r="N26" s="32">
        <f>67/35</f>
        <v>1.9142857142857144</v>
      </c>
      <c r="P26" s="36"/>
      <c r="Q26" s="47"/>
    </row>
    <row r="27" spans="2:17">
      <c r="B27" s="21" t="s">
        <v>33</v>
      </c>
      <c r="C27" s="26">
        <f>24/38*100</f>
        <v>63.157894736842103</v>
      </c>
      <c r="D27" s="26">
        <f>21/38*100</f>
        <v>55.26315789473685</v>
      </c>
      <c r="E27" s="30">
        <f>24/40*100</f>
        <v>60</v>
      </c>
      <c r="F27" s="30">
        <f>25/37*100</f>
        <v>67.567567567567565</v>
      </c>
      <c r="G27" s="26">
        <f>27/42*100</f>
        <v>64.285714285714292</v>
      </c>
      <c r="H27" s="26">
        <f>29/36*100</f>
        <v>80.555555555555557</v>
      </c>
      <c r="I27" s="27">
        <f>30/37*100</f>
        <v>81.081081081081081</v>
      </c>
      <c r="J27" s="27">
        <f>34/35*100</f>
        <v>97.142857142857139</v>
      </c>
      <c r="K27" s="28">
        <f>36/37*100</f>
        <v>97.297297297297305</v>
      </c>
      <c r="L27" s="29">
        <f>36/36*100</f>
        <v>100</v>
      </c>
      <c r="M27" s="32">
        <f>37/42*100</f>
        <v>88.095238095238088</v>
      </c>
      <c r="N27" s="32">
        <f>35/35*100</f>
        <v>100</v>
      </c>
      <c r="P27" s="48"/>
      <c r="Q27" s="48"/>
    </row>
    <row r="28" spans="2:17">
      <c r="B28" s="21" t="s">
        <v>87</v>
      </c>
      <c r="C28" s="31">
        <f>31.2/12</f>
        <v>2.6</v>
      </c>
      <c r="D28" s="26">
        <f>18.92/7</f>
        <v>2.7028571428571433</v>
      </c>
      <c r="E28" s="30">
        <f>33.8/13</f>
        <v>2.5999999999999996</v>
      </c>
      <c r="F28" s="30">
        <f>30.2/12</f>
        <v>2.5166666666666666</v>
      </c>
      <c r="G28" s="26">
        <f>44.2/17</f>
        <v>2.6</v>
      </c>
      <c r="H28" s="26">
        <f>44.7/15</f>
        <v>2.98</v>
      </c>
      <c r="I28" s="27">
        <f>42/15</f>
        <v>2.8</v>
      </c>
      <c r="J28" s="27">
        <f>43.6/15</f>
        <v>2.9066666666666667</v>
      </c>
      <c r="K28" s="28">
        <f>52.6/18</f>
        <v>2.9222222222222225</v>
      </c>
      <c r="L28" s="28">
        <f>85.8/28</f>
        <v>3.0642857142857141</v>
      </c>
      <c r="M28" s="51"/>
      <c r="N28" s="32"/>
      <c r="P28" s="36"/>
      <c r="Q28" s="47"/>
    </row>
    <row r="29" spans="2:17">
      <c r="B29" s="21" t="s">
        <v>88</v>
      </c>
      <c r="C29" s="26">
        <f>19.32/4</f>
        <v>4.83</v>
      </c>
      <c r="D29" s="26">
        <f>17.92/5</f>
        <v>3.5840000000000005</v>
      </c>
      <c r="E29" s="30">
        <f>37.6/8</f>
        <v>4.7</v>
      </c>
      <c r="F29" s="30">
        <f>46.5/11</f>
        <v>4.2272727272727275</v>
      </c>
      <c r="G29" s="26">
        <f>85.5/19</f>
        <v>4.5</v>
      </c>
      <c r="H29" s="30">
        <f>73.1/15</f>
        <v>4.8733333333333331</v>
      </c>
      <c r="I29" s="27">
        <f>40.5/9</f>
        <v>4.5</v>
      </c>
      <c r="J29" s="27">
        <f>53.6/12</f>
        <v>4.4666666666666668</v>
      </c>
      <c r="K29" s="28">
        <f>67.2/15</f>
        <v>4.4800000000000004</v>
      </c>
      <c r="L29" s="28">
        <f>55.7/13</f>
        <v>4.2846153846153845</v>
      </c>
      <c r="M29" s="51"/>
      <c r="N29" s="32"/>
      <c r="P29" s="48"/>
      <c r="Q29" s="48"/>
    </row>
    <row r="30" spans="2:17">
      <c r="B30" s="21" t="s">
        <v>89</v>
      </c>
      <c r="C30" s="30"/>
      <c r="D30" s="30"/>
      <c r="E30" s="30">
        <f>44/70*100</f>
        <v>62.857142857142854</v>
      </c>
      <c r="F30" s="30">
        <f>43/70*100</f>
        <v>61.428571428571431</v>
      </c>
      <c r="G30" s="26">
        <f>13/18*100</f>
        <v>72.222222222222214</v>
      </c>
      <c r="H30" s="26">
        <f>10/18*100</f>
        <v>55.555555555555557</v>
      </c>
      <c r="I30" s="27">
        <f>12/19*100</f>
        <v>63.157894736842103</v>
      </c>
      <c r="J30" s="27">
        <f>9/19*100</f>
        <v>47.368421052631575</v>
      </c>
      <c r="K30" s="28">
        <f>18/23*100</f>
        <v>78.260869565217391</v>
      </c>
      <c r="L30" s="32">
        <f>15/23*100</f>
        <v>65.217391304347828</v>
      </c>
      <c r="M30" s="32">
        <f>13/18*100</f>
        <v>72.222222222222214</v>
      </c>
      <c r="N30" s="32">
        <f>16/18*100</f>
        <v>88.888888888888886</v>
      </c>
      <c r="P30" s="36"/>
      <c r="Q30" s="47"/>
    </row>
    <row r="31" spans="2:17">
      <c r="B31" s="21" t="s">
        <v>90</v>
      </c>
      <c r="C31" s="30"/>
      <c r="D31" s="30"/>
      <c r="E31" s="30">
        <f>17/35*100</f>
        <v>48.571428571428569</v>
      </c>
      <c r="F31" s="30">
        <f>20/35*100</f>
        <v>57.142857142857139</v>
      </c>
      <c r="G31" s="26">
        <f>9/16*100</f>
        <v>56.25</v>
      </c>
      <c r="H31" s="30">
        <f>9/16*100</f>
        <v>56.25</v>
      </c>
      <c r="I31" s="27">
        <f>7/12*100</f>
        <v>58.333333333333336</v>
      </c>
      <c r="J31" s="27">
        <f>7/12*100</f>
        <v>58.333333333333336</v>
      </c>
      <c r="K31" s="28">
        <f>16/21*100</f>
        <v>76.19047619047619</v>
      </c>
      <c r="L31" s="33">
        <f>14/21*100</f>
        <v>66.666666666666657</v>
      </c>
      <c r="M31" s="32">
        <f>9/13*100</f>
        <v>69.230769230769226</v>
      </c>
      <c r="N31" s="32">
        <f>9/13*100</f>
        <v>69.230769230769226</v>
      </c>
      <c r="P31" s="48"/>
      <c r="Q31" s="48"/>
    </row>
    <row r="32" spans="2:17">
      <c r="B32" s="21" t="s">
        <v>91</v>
      </c>
      <c r="C32" s="30">
        <f t="shared" ref="C32:H32" si="0">4/4*100</f>
        <v>100</v>
      </c>
      <c r="D32" s="30">
        <f t="shared" si="0"/>
        <v>100</v>
      </c>
      <c r="E32" s="30">
        <f t="shared" si="0"/>
        <v>100</v>
      </c>
      <c r="F32" s="30">
        <f t="shared" si="0"/>
        <v>100</v>
      </c>
      <c r="G32" s="30">
        <f t="shared" si="0"/>
        <v>100</v>
      </c>
      <c r="H32" s="30">
        <f t="shared" si="0"/>
        <v>100</v>
      </c>
      <c r="I32" s="27">
        <f>4/4*100</f>
        <v>100</v>
      </c>
      <c r="J32" s="27">
        <f>4/4*100</f>
        <v>100</v>
      </c>
      <c r="K32" s="28">
        <f>4/4*100</f>
        <v>100</v>
      </c>
      <c r="L32" s="29">
        <f>4/4*100</f>
        <v>100</v>
      </c>
      <c r="M32" s="32">
        <f>4/4*100</f>
        <v>100</v>
      </c>
      <c r="N32" s="32">
        <f>3/4*100</f>
        <v>75</v>
      </c>
      <c r="P32" s="36"/>
      <c r="Q32" s="36"/>
    </row>
    <row r="33" spans="2:18">
      <c r="B33" s="21" t="s">
        <v>92</v>
      </c>
      <c r="C33" s="26">
        <f>5500/76597*100</f>
        <v>7.1804378761570291</v>
      </c>
      <c r="D33" s="26">
        <f>5768/74941*100</f>
        <v>7.6967214208510697</v>
      </c>
      <c r="E33" s="30">
        <f>4000/68828*100</f>
        <v>5.8115883070843264</v>
      </c>
      <c r="F33" s="30">
        <f>4386/72056*100</f>
        <v>6.0869323859220605</v>
      </c>
      <c r="G33" s="26">
        <f>6000/84713*100</f>
        <v>7.0827381865829331</v>
      </c>
      <c r="H33" s="26">
        <f>5995/93706*100</f>
        <v>6.3976693061276766</v>
      </c>
      <c r="I33" s="27">
        <f>8500/91924*100</f>
        <v>9.2467690701013883</v>
      </c>
      <c r="J33" s="27">
        <f>8434/92736*100</f>
        <v>9.0946342305037948</v>
      </c>
      <c r="K33" s="28">
        <f>11600/94454*100</f>
        <v>12.281110381773139</v>
      </c>
      <c r="L33" s="33">
        <f>12444/100755*100</f>
        <v>12.350751823730832</v>
      </c>
      <c r="M33" s="32">
        <f>13400/100737*100</f>
        <v>13.301964521476716</v>
      </c>
      <c r="N33" s="32">
        <f>14258.8/109812.4*100</f>
        <v>12.984690253559709</v>
      </c>
      <c r="P33" s="48"/>
      <c r="Q33" s="48"/>
    </row>
    <row r="34" spans="2:18" ht="30">
      <c r="B34" s="41" t="s">
        <v>200</v>
      </c>
      <c r="C34" s="23"/>
      <c r="D34" s="23"/>
      <c r="E34" s="24"/>
      <c r="F34" s="24"/>
      <c r="G34" s="23"/>
      <c r="H34" s="23"/>
      <c r="I34" s="13"/>
      <c r="J34" s="13"/>
      <c r="K34" s="28">
        <f>35/37*100</f>
        <v>94.594594594594597</v>
      </c>
      <c r="L34" s="33">
        <f>35/36*100</f>
        <v>97.222222222222214</v>
      </c>
      <c r="P34" s="36"/>
      <c r="Q34" s="47"/>
      <c r="R34" s="45" t="s">
        <v>208</v>
      </c>
    </row>
    <row r="35" spans="2:18">
      <c r="B35" s="21" t="s">
        <v>93</v>
      </c>
      <c r="C35" s="26">
        <f>8400/76597*100</f>
        <v>10.966486938130735</v>
      </c>
      <c r="D35" s="26">
        <f>4970/74941*100</f>
        <v>6.6318837485488586</v>
      </c>
      <c r="E35" s="30">
        <f>2500/68828*100</f>
        <v>3.6322426919277042</v>
      </c>
      <c r="F35" s="30">
        <f>3854/72056*100</f>
        <v>5.3486177417564118</v>
      </c>
      <c r="G35" s="30">
        <f>5000/84713*100</f>
        <v>5.9022818221524442</v>
      </c>
      <c r="H35" s="26">
        <f>5397/93706*100</f>
        <v>5.759503126800845</v>
      </c>
      <c r="I35" s="27">
        <f>5500/91924*100</f>
        <v>5.9832035159479569</v>
      </c>
      <c r="J35" s="34">
        <f>12074/92736*100</f>
        <v>13.019755003450657</v>
      </c>
      <c r="K35" s="42"/>
      <c r="L35" s="42"/>
      <c r="P35" s="48"/>
      <c r="Q35" s="48"/>
      <c r="R35" s="45" t="s">
        <v>209</v>
      </c>
    </row>
    <row r="36" spans="2:18">
      <c r="B36" s="8"/>
      <c r="C36" s="9"/>
      <c r="D36" s="9"/>
      <c r="E36" s="10"/>
      <c r="F36" s="10"/>
      <c r="G36" s="10"/>
      <c r="H36" s="9"/>
      <c r="K36"/>
      <c r="M36" s="3"/>
      <c r="P36" s="36"/>
      <c r="Q36" s="36"/>
      <c r="R36" s="45" t="s">
        <v>210</v>
      </c>
    </row>
    <row r="37" spans="2:18">
      <c r="P37" s="49"/>
      <c r="Q37" s="50"/>
      <c r="R37" s="45" t="s">
        <v>211</v>
      </c>
    </row>
    <row r="38" spans="2:18" ht="15" customHeight="1">
      <c r="N38" s="45" t="s">
        <v>213</v>
      </c>
      <c r="R38" s="45" t="s">
        <v>212</v>
      </c>
    </row>
    <row r="39" spans="2:18" ht="105" customHeight="1">
      <c r="B39" s="42"/>
      <c r="C39" s="41" t="s">
        <v>180</v>
      </c>
      <c r="D39" s="41" t="s">
        <v>181</v>
      </c>
      <c r="E39" s="41" t="s">
        <v>33</v>
      </c>
      <c r="F39" s="41" t="s">
        <v>87</v>
      </c>
      <c r="G39" s="41" t="s">
        <v>88</v>
      </c>
      <c r="H39" s="41" t="s">
        <v>89</v>
      </c>
      <c r="I39" s="41" t="s">
        <v>90</v>
      </c>
      <c r="J39" s="41" t="s">
        <v>91</v>
      </c>
      <c r="K39" s="41" t="s">
        <v>92</v>
      </c>
      <c r="L39" s="41" t="s">
        <v>93</v>
      </c>
      <c r="N39" s="45" t="s">
        <v>214</v>
      </c>
    </row>
    <row r="40" spans="2:18" ht="15" customHeight="1">
      <c r="B40" s="43" t="s">
        <v>172</v>
      </c>
      <c r="C40" s="44">
        <v>0.86842105263157898</v>
      </c>
      <c r="D40" s="44">
        <v>0.63157894736842102</v>
      </c>
      <c r="E40" s="44">
        <v>63.157894736842103</v>
      </c>
      <c r="F40" s="44">
        <v>2.6</v>
      </c>
      <c r="G40" s="44">
        <v>4.83</v>
      </c>
      <c r="H40" s="44"/>
      <c r="I40" s="44"/>
      <c r="J40" s="44">
        <v>100</v>
      </c>
      <c r="K40" s="44">
        <v>7.1804378761570291</v>
      </c>
      <c r="L40" s="44">
        <v>10.966486938130735</v>
      </c>
    </row>
    <row r="41" spans="2:18" ht="15" customHeight="1">
      <c r="B41" s="43" t="s">
        <v>174</v>
      </c>
      <c r="C41" s="44">
        <v>1</v>
      </c>
      <c r="D41" s="44">
        <v>1</v>
      </c>
      <c r="E41" s="44">
        <v>60</v>
      </c>
      <c r="F41" s="44">
        <v>2.6</v>
      </c>
      <c r="G41" s="44">
        <v>4.7</v>
      </c>
      <c r="H41" s="44">
        <v>62.857142857142854</v>
      </c>
      <c r="I41" s="44">
        <v>48.571428571428569</v>
      </c>
      <c r="J41" s="44">
        <v>100</v>
      </c>
      <c r="K41" s="44">
        <v>5.8115883070843264</v>
      </c>
      <c r="L41" s="44">
        <v>3.6322426919277042</v>
      </c>
      <c r="N41" s="1" t="s">
        <v>215</v>
      </c>
    </row>
    <row r="42" spans="2:18" ht="15" customHeight="1">
      <c r="B42" s="43" t="s">
        <v>176</v>
      </c>
      <c r="C42" s="44">
        <v>1.0714285714285714</v>
      </c>
      <c r="D42" s="44">
        <v>1.0238095238095237</v>
      </c>
      <c r="E42" s="44">
        <v>64.285714285714292</v>
      </c>
      <c r="F42" s="44">
        <v>2.6</v>
      </c>
      <c r="G42" s="44">
        <v>4.5</v>
      </c>
      <c r="H42" s="44">
        <v>72.222222222222214</v>
      </c>
      <c r="I42" s="44">
        <v>56.25</v>
      </c>
      <c r="J42" s="44">
        <v>100</v>
      </c>
      <c r="K42" s="44">
        <v>7.0827381865829331</v>
      </c>
      <c r="L42" s="44">
        <v>5.9022818221524442</v>
      </c>
    </row>
    <row r="43" spans="2:18" ht="15" customHeight="1">
      <c r="B43" s="43" t="s">
        <v>178</v>
      </c>
      <c r="C43" s="44">
        <v>1.1351351351351351</v>
      </c>
      <c r="D43" s="44">
        <v>0.97297297297297303</v>
      </c>
      <c r="E43" s="44">
        <v>81.081081081081081</v>
      </c>
      <c r="F43" s="44">
        <v>2.8</v>
      </c>
      <c r="G43" s="44">
        <v>4.5</v>
      </c>
      <c r="H43" s="44">
        <v>63.157894736842103</v>
      </c>
      <c r="I43" s="44">
        <v>58.333333333333336</v>
      </c>
      <c r="J43" s="44">
        <v>100</v>
      </c>
      <c r="K43" s="44">
        <v>9.2467690701013883</v>
      </c>
      <c r="L43" s="44">
        <v>5.9832035159479569</v>
      </c>
      <c r="N43" s="1" t="s">
        <v>216</v>
      </c>
    </row>
    <row r="44" spans="2:18" ht="15" customHeight="1">
      <c r="B44" s="43" t="s">
        <v>173</v>
      </c>
      <c r="C44" s="44">
        <v>0.97368421052631582</v>
      </c>
      <c r="D44" s="44">
        <v>1.0789473684210527</v>
      </c>
      <c r="E44" s="44">
        <v>55.26315789473685</v>
      </c>
      <c r="F44" s="44">
        <v>2.7028571428571433</v>
      </c>
      <c r="G44" s="44">
        <v>3.5840000000000005</v>
      </c>
      <c r="H44" s="44"/>
      <c r="I44" s="44"/>
      <c r="J44" s="44">
        <v>100</v>
      </c>
      <c r="K44" s="44">
        <v>7.6967214208510697</v>
      </c>
      <c r="L44" s="44">
        <v>6.6318837485488586</v>
      </c>
    </row>
    <row r="45" spans="2:18">
      <c r="B45" s="43" t="s">
        <v>175</v>
      </c>
      <c r="C45" s="44">
        <v>1.1351351351351351</v>
      </c>
      <c r="D45" s="44">
        <v>1</v>
      </c>
      <c r="E45" s="44">
        <v>67.567567567567565</v>
      </c>
      <c r="F45" s="44">
        <v>2.5166666666666666</v>
      </c>
      <c r="G45" s="44">
        <v>4.2272727272727275</v>
      </c>
      <c r="H45" s="44">
        <v>61.428571428571431</v>
      </c>
      <c r="I45" s="44">
        <v>57.142857142857139</v>
      </c>
      <c r="J45" s="44">
        <v>100</v>
      </c>
      <c r="K45" s="44">
        <v>6.0869323859220605</v>
      </c>
      <c r="L45" s="44">
        <v>5.3486177417564118</v>
      </c>
    </row>
    <row r="46" spans="2:18">
      <c r="B46" s="43" t="s">
        <v>177</v>
      </c>
      <c r="C46" s="44">
        <v>1.3611111111111112</v>
      </c>
      <c r="D46" s="44">
        <v>1.4444444444444444</v>
      </c>
      <c r="E46" s="44">
        <v>80.555555555555557</v>
      </c>
      <c r="F46" s="44">
        <v>2.98</v>
      </c>
      <c r="G46" s="44">
        <v>4.8733333333333331</v>
      </c>
      <c r="H46" s="44">
        <v>55.555555555555557</v>
      </c>
      <c r="I46" s="44">
        <v>56.25</v>
      </c>
      <c r="J46" s="44">
        <v>100</v>
      </c>
      <c r="K46" s="44">
        <v>6.3976693061276766</v>
      </c>
      <c r="L46" s="44">
        <v>5.759503126800845</v>
      </c>
    </row>
    <row r="47" spans="2:18">
      <c r="B47" s="43" t="s">
        <v>179</v>
      </c>
      <c r="C47" s="44">
        <v>1.6285714285714286</v>
      </c>
      <c r="D47" s="44">
        <v>1.9428571428571428</v>
      </c>
      <c r="E47" s="44">
        <v>97.142857142857139</v>
      </c>
      <c r="F47" s="44">
        <v>2.9066666666666667</v>
      </c>
      <c r="G47" s="44">
        <v>4.4666666666666668</v>
      </c>
      <c r="H47" s="44">
        <v>47.368421052631575</v>
      </c>
      <c r="I47" s="44">
        <v>58.333333333333336</v>
      </c>
      <c r="J47" s="44">
        <v>100</v>
      </c>
      <c r="K47" s="44">
        <v>9.0946342305037948</v>
      </c>
      <c r="L47" s="44">
        <v>13.019755003450657</v>
      </c>
    </row>
    <row r="49" spans="2:16">
      <c r="C49" s="465">
        <v>2001</v>
      </c>
      <c r="D49" s="465"/>
      <c r="E49" s="465">
        <v>2002</v>
      </c>
      <c r="F49" s="465"/>
      <c r="G49" s="465">
        <v>2003</v>
      </c>
      <c r="H49" s="465"/>
      <c r="I49" s="465">
        <v>2004</v>
      </c>
      <c r="J49" s="465"/>
      <c r="K49" s="465">
        <v>2005</v>
      </c>
      <c r="L49" s="465"/>
    </row>
    <row r="50" spans="2:16" ht="15.75">
      <c r="B50" s="22"/>
      <c r="C50" s="25" t="s">
        <v>102</v>
      </c>
      <c r="D50" s="25" t="s">
        <v>101</v>
      </c>
      <c r="E50" s="25" t="s">
        <v>102</v>
      </c>
      <c r="F50" s="25" t="s">
        <v>101</v>
      </c>
      <c r="G50" s="25" t="s">
        <v>102</v>
      </c>
      <c r="H50" s="25" t="s">
        <v>101</v>
      </c>
      <c r="I50" s="25" t="s">
        <v>102</v>
      </c>
      <c r="J50" s="25" t="s">
        <v>101</v>
      </c>
      <c r="K50" s="25" t="s">
        <v>102</v>
      </c>
      <c r="L50" s="25" t="s">
        <v>101</v>
      </c>
    </row>
    <row r="51" spans="2:16" ht="30">
      <c r="B51" s="21" t="s">
        <v>180</v>
      </c>
      <c r="C51" s="26">
        <f>33/38</f>
        <v>0.86842105263157898</v>
      </c>
      <c r="D51" s="26">
        <f>37/38</f>
        <v>0.97368421052631582</v>
      </c>
      <c r="E51" s="26">
        <f>40/40</f>
        <v>1</v>
      </c>
      <c r="F51" s="26">
        <f>42/37</f>
        <v>1.1351351351351351</v>
      </c>
      <c r="G51" s="26">
        <f>45/42</f>
        <v>1.0714285714285714</v>
      </c>
      <c r="H51" s="26">
        <f>49/36</f>
        <v>1.3611111111111112</v>
      </c>
      <c r="I51" s="27">
        <f>42/37</f>
        <v>1.1351351351351351</v>
      </c>
      <c r="J51" s="27">
        <f>57/35</f>
        <v>1.6285714285714286</v>
      </c>
      <c r="K51" s="28">
        <f>63/37</f>
        <v>1.7027027027027026</v>
      </c>
      <c r="L51" s="29">
        <f>67/36</f>
        <v>1.8611111111111112</v>
      </c>
    </row>
    <row r="52" spans="2:16" ht="30">
      <c r="B52" s="21" t="s">
        <v>181</v>
      </c>
      <c r="C52" s="26">
        <f>24/38</f>
        <v>0.63157894736842102</v>
      </c>
      <c r="D52" s="26">
        <f>41/38</f>
        <v>1.0789473684210527</v>
      </c>
      <c r="E52" s="26">
        <f>40/40</f>
        <v>1</v>
      </c>
      <c r="F52" s="26">
        <f>37/37</f>
        <v>1</v>
      </c>
      <c r="G52" s="26">
        <f>43/42</f>
        <v>1.0238095238095237</v>
      </c>
      <c r="H52" s="26">
        <f>52/36</f>
        <v>1.4444444444444444</v>
      </c>
      <c r="I52" s="27">
        <f>36/37</f>
        <v>0.97297297297297303</v>
      </c>
      <c r="J52" s="27">
        <f>68/35</f>
        <v>1.9428571428571428</v>
      </c>
      <c r="K52" s="28">
        <f>40/37</f>
        <v>1.0810810810810811</v>
      </c>
      <c r="L52" s="29">
        <f>53/36</f>
        <v>1.4722222222222223</v>
      </c>
    </row>
    <row r="53" spans="2:16">
      <c r="B53" s="21" t="s">
        <v>33</v>
      </c>
      <c r="C53" s="26">
        <f>24/38*100</f>
        <v>63.157894736842103</v>
      </c>
      <c r="D53" s="26">
        <f>21/38*100</f>
        <v>55.26315789473685</v>
      </c>
      <c r="E53" s="30">
        <f>24/40*100</f>
        <v>60</v>
      </c>
      <c r="F53" s="30">
        <f>25/37*100</f>
        <v>67.567567567567565</v>
      </c>
      <c r="G53" s="26">
        <f>27/42*100</f>
        <v>64.285714285714292</v>
      </c>
      <c r="H53" s="26">
        <f>29/36*100</f>
        <v>80.555555555555557</v>
      </c>
      <c r="I53" s="27">
        <f>30/37*100</f>
        <v>81.081081081081081</v>
      </c>
      <c r="J53" s="27">
        <f>34/35*100</f>
        <v>97.142857142857139</v>
      </c>
      <c r="K53" s="28">
        <f>36/37*100</f>
        <v>97.297297297297305</v>
      </c>
      <c r="L53" s="29">
        <f>35/36*100</f>
        <v>97.222222222222214</v>
      </c>
    </row>
    <row r="54" spans="2:16">
      <c r="B54" s="21" t="s">
        <v>87</v>
      </c>
      <c r="C54" s="31">
        <f>31.2/12</f>
        <v>2.6</v>
      </c>
      <c r="D54" s="26">
        <f>18.92/7</f>
        <v>2.7028571428571433</v>
      </c>
      <c r="E54" s="30">
        <f>33.8/13</f>
        <v>2.5999999999999996</v>
      </c>
      <c r="F54" s="30">
        <f>30.2/12</f>
        <v>2.5166666666666666</v>
      </c>
      <c r="G54" s="26">
        <f>44.2/17</f>
        <v>2.6</v>
      </c>
      <c r="H54" s="26">
        <f>44.7/15</f>
        <v>2.98</v>
      </c>
      <c r="I54" s="27">
        <f>42/15</f>
        <v>2.8</v>
      </c>
      <c r="J54" s="27">
        <f>43.6/15</f>
        <v>2.9066666666666667</v>
      </c>
      <c r="K54" s="28">
        <f>52.6/18</f>
        <v>2.9222222222222225</v>
      </c>
      <c r="L54" s="28">
        <f>85.8/28</f>
        <v>3.0642857142857141</v>
      </c>
    </row>
    <row r="55" spans="2:16">
      <c r="B55" s="21" t="s">
        <v>88</v>
      </c>
      <c r="C55" s="26">
        <f>19.32/4</f>
        <v>4.83</v>
      </c>
      <c r="D55" s="26">
        <f>17.92/5</f>
        <v>3.5840000000000005</v>
      </c>
      <c r="E55" s="30">
        <f>37.6/8</f>
        <v>4.7</v>
      </c>
      <c r="F55" s="30">
        <f>46.5/11</f>
        <v>4.2272727272727275</v>
      </c>
      <c r="G55" s="26">
        <f>85.5/19</f>
        <v>4.5</v>
      </c>
      <c r="H55" s="30">
        <f>73.1/15</f>
        <v>4.8733333333333331</v>
      </c>
      <c r="I55" s="27">
        <f>40.5/9</f>
        <v>4.5</v>
      </c>
      <c r="J55" s="27">
        <f>53.6/12</f>
        <v>4.4666666666666668</v>
      </c>
      <c r="K55" s="28">
        <f>67.2/15</f>
        <v>4.4800000000000004</v>
      </c>
      <c r="L55" s="28">
        <f>55.7/13</f>
        <v>4.2846153846153845</v>
      </c>
    </row>
    <row r="56" spans="2:16">
      <c r="B56" s="21" t="s">
        <v>89</v>
      </c>
      <c r="C56" s="30"/>
      <c r="D56" s="30"/>
      <c r="E56" s="30">
        <f>44/70*100</f>
        <v>62.857142857142854</v>
      </c>
      <c r="F56" s="30">
        <f>43/70*100</f>
        <v>61.428571428571431</v>
      </c>
      <c r="G56" s="26">
        <f>13/18*100</f>
        <v>72.222222222222214</v>
      </c>
      <c r="H56" s="26">
        <f>10/18*100</f>
        <v>55.555555555555557</v>
      </c>
      <c r="I56" s="27">
        <f>12/19*100</f>
        <v>63.157894736842103</v>
      </c>
      <c r="J56" s="27">
        <f>9/19*100</f>
        <v>47.368421052631575</v>
      </c>
      <c r="K56" s="28">
        <f>18/23*100</f>
        <v>78.260869565217391</v>
      </c>
      <c r="L56" s="32">
        <f>15/23*100</f>
        <v>65.217391304347828</v>
      </c>
    </row>
    <row r="57" spans="2:16">
      <c r="B57" s="21" t="s">
        <v>90</v>
      </c>
      <c r="C57" s="30"/>
      <c r="D57" s="30"/>
      <c r="E57" s="30">
        <f>17/35*100</f>
        <v>48.571428571428569</v>
      </c>
      <c r="F57" s="30">
        <f>20/35*100</f>
        <v>57.142857142857139</v>
      </c>
      <c r="G57" s="26">
        <f>9/16*100</f>
        <v>56.25</v>
      </c>
      <c r="H57" s="30">
        <f>9/16*100</f>
        <v>56.25</v>
      </c>
      <c r="I57" s="27">
        <f>7/12*100</f>
        <v>58.333333333333336</v>
      </c>
      <c r="J57" s="27">
        <f>7/12*100</f>
        <v>58.333333333333336</v>
      </c>
      <c r="K57" s="28">
        <f>16/21*100</f>
        <v>76.19047619047619</v>
      </c>
      <c r="L57" s="33">
        <f>14/21*100</f>
        <v>66.666666666666657</v>
      </c>
    </row>
    <row r="58" spans="2:16">
      <c r="B58" s="21" t="s">
        <v>91</v>
      </c>
      <c r="C58" s="30">
        <f t="shared" ref="C58:H58" si="1">4/4*100</f>
        <v>100</v>
      </c>
      <c r="D58" s="30">
        <f t="shared" si="1"/>
        <v>100</v>
      </c>
      <c r="E58" s="30">
        <f t="shared" si="1"/>
        <v>100</v>
      </c>
      <c r="F58" s="30">
        <f t="shared" si="1"/>
        <v>100</v>
      </c>
      <c r="G58" s="30">
        <f t="shared" si="1"/>
        <v>100</v>
      </c>
      <c r="H58" s="30">
        <f t="shared" si="1"/>
        <v>100</v>
      </c>
      <c r="I58" s="27">
        <f>4/4*100</f>
        <v>100</v>
      </c>
      <c r="J58" s="27">
        <f>4/4*100</f>
        <v>100</v>
      </c>
      <c r="K58" s="28">
        <f>4/4*100</f>
        <v>100</v>
      </c>
      <c r="L58" s="29">
        <f>4/4*100</f>
        <v>100</v>
      </c>
    </row>
    <row r="59" spans="2:16">
      <c r="B59" s="21" t="s">
        <v>92</v>
      </c>
      <c r="C59" s="26">
        <f>5500/76597*100</f>
        <v>7.1804378761570291</v>
      </c>
      <c r="D59" s="26">
        <f>5768/74941*100</f>
        <v>7.6967214208510697</v>
      </c>
      <c r="E59" s="30">
        <f>4000/68828*100</f>
        <v>5.8115883070843264</v>
      </c>
      <c r="F59" s="30">
        <f>4386/72056*100</f>
        <v>6.0869323859220605</v>
      </c>
      <c r="G59" s="26">
        <f>6000/84713*100</f>
        <v>7.0827381865829331</v>
      </c>
      <c r="H59" s="26">
        <f>5995/93706*100</f>
        <v>6.3976693061276766</v>
      </c>
      <c r="I59" s="27">
        <f>8500/91924*100</f>
        <v>9.2467690701013883</v>
      </c>
      <c r="J59" s="27">
        <f>8434/92736*100</f>
        <v>9.0946342305037948</v>
      </c>
      <c r="K59" s="28">
        <f>11600/94454*100</f>
        <v>12.281110381773139</v>
      </c>
      <c r="L59" s="33">
        <f>12443/88311*100</f>
        <v>14.089977466000839</v>
      </c>
    </row>
    <row r="60" spans="2:16" ht="30">
      <c r="B60" s="21" t="s">
        <v>200</v>
      </c>
      <c r="C60" s="26"/>
      <c r="D60" s="26"/>
      <c r="E60" s="30"/>
      <c r="F60" s="30"/>
      <c r="G60" s="26"/>
      <c r="H60" s="26"/>
      <c r="I60" s="27"/>
      <c r="J60" s="27"/>
      <c r="K60" s="28">
        <f>35/37*100</f>
        <v>94.594594594594597</v>
      </c>
      <c r="L60" s="33">
        <f>35/36*100</f>
        <v>97.222222222222214</v>
      </c>
    </row>
    <row r="61" spans="2:16">
      <c r="B61" s="21" t="s">
        <v>93</v>
      </c>
      <c r="C61" s="26">
        <f>8400/76597*100</f>
        <v>10.966486938130735</v>
      </c>
      <c r="D61" s="26">
        <f>4970/74941*100</f>
        <v>6.6318837485488586</v>
      </c>
      <c r="E61" s="30">
        <f>2500/68828*100</f>
        <v>3.6322426919277042</v>
      </c>
      <c r="F61" s="30">
        <f>3854/72056*100</f>
        <v>5.3486177417564118</v>
      </c>
      <c r="G61" s="30">
        <f>5000/84713*100</f>
        <v>5.9022818221524442</v>
      </c>
      <c r="H61" s="26">
        <f>5397/93706*100</f>
        <v>5.759503126800845</v>
      </c>
      <c r="I61" s="27">
        <f>5500/91924*100</f>
        <v>5.9832035159479569</v>
      </c>
      <c r="J61" s="34">
        <f>12074/92736*100</f>
        <v>13.019755003450657</v>
      </c>
      <c r="K61" s="22"/>
      <c r="L61" s="22"/>
    </row>
    <row r="64" spans="2:16" ht="31.5">
      <c r="B64" s="60"/>
      <c r="C64" s="68" t="s">
        <v>172</v>
      </c>
      <c r="D64" s="68" t="s">
        <v>173</v>
      </c>
      <c r="E64" s="68" t="s">
        <v>174</v>
      </c>
      <c r="F64" s="68" t="s">
        <v>175</v>
      </c>
      <c r="G64" s="68" t="s">
        <v>176</v>
      </c>
      <c r="H64" s="68" t="s">
        <v>177</v>
      </c>
      <c r="I64" s="68" t="s">
        <v>178</v>
      </c>
      <c r="J64" s="68" t="s">
        <v>179</v>
      </c>
      <c r="K64" s="68" t="s">
        <v>201</v>
      </c>
      <c r="L64" s="68" t="s">
        <v>202</v>
      </c>
      <c r="M64" s="68" t="s">
        <v>221</v>
      </c>
      <c r="N64" s="68" t="s">
        <v>222</v>
      </c>
      <c r="O64" s="68" t="s">
        <v>357</v>
      </c>
      <c r="P64" s="68" t="s">
        <v>358</v>
      </c>
    </row>
    <row r="65" spans="2:20" ht="30">
      <c r="B65" s="53" t="s">
        <v>205</v>
      </c>
      <c r="C65" s="55">
        <f>33/38</f>
        <v>0.86842105263157898</v>
      </c>
      <c r="D65" s="55">
        <f>37/38</f>
        <v>0.97368421052631582</v>
      </c>
      <c r="E65" s="55">
        <f>40/40</f>
        <v>1</v>
      </c>
      <c r="F65" s="55">
        <f>42/37</f>
        <v>1.1351351351351351</v>
      </c>
      <c r="G65" s="55">
        <f>45/42</f>
        <v>1.0714285714285714</v>
      </c>
      <c r="H65" s="55">
        <f>49/36</f>
        <v>1.3611111111111112</v>
      </c>
      <c r="I65" s="56">
        <f>42/37</f>
        <v>1.1351351351351351</v>
      </c>
      <c r="J65" s="56">
        <f>57/35</f>
        <v>1.6285714285714286</v>
      </c>
      <c r="K65" s="57">
        <f>63/37</f>
        <v>1.7027027027027026</v>
      </c>
      <c r="L65" s="67">
        <f>67/36</f>
        <v>1.8611111111111112</v>
      </c>
      <c r="M65" s="58">
        <f>80/42</f>
        <v>1.9047619047619047</v>
      </c>
      <c r="N65" s="58">
        <f>66/35</f>
        <v>1.8857142857142857</v>
      </c>
      <c r="O65" s="58">
        <v>2.1</v>
      </c>
      <c r="P65" s="58">
        <v>2.1</v>
      </c>
    </row>
    <row r="66" spans="2:20" ht="30">
      <c r="B66" s="53" t="s">
        <v>181</v>
      </c>
      <c r="C66" s="55">
        <f>24/38</f>
        <v>0.63157894736842102</v>
      </c>
      <c r="D66" s="55">
        <f>41/38</f>
        <v>1.0789473684210527</v>
      </c>
      <c r="E66" s="55">
        <f>40/40</f>
        <v>1</v>
      </c>
      <c r="F66" s="55">
        <f>37/37</f>
        <v>1</v>
      </c>
      <c r="G66" s="55">
        <f>43/42</f>
        <v>1.0238095238095237</v>
      </c>
      <c r="H66" s="55">
        <f>52/36</f>
        <v>1.4444444444444444</v>
      </c>
      <c r="I66" s="56">
        <f>36/37</f>
        <v>0.97297297297297303</v>
      </c>
      <c r="J66" s="56">
        <f>68/35</f>
        <v>1.9428571428571428</v>
      </c>
      <c r="K66" s="57">
        <f>40/37</f>
        <v>1.0810810810810811</v>
      </c>
      <c r="L66" s="67">
        <f>53/36</f>
        <v>1.4722222222222223</v>
      </c>
      <c r="M66" s="58">
        <f>45/42</f>
        <v>1.0714285714285714</v>
      </c>
      <c r="N66" s="58">
        <f>67/35</f>
        <v>1.9142857142857144</v>
      </c>
      <c r="O66" s="58">
        <v>1.1000000000000001</v>
      </c>
      <c r="P66" s="58">
        <v>1.2</v>
      </c>
    </row>
    <row r="69" spans="2:20" s="109" customFormat="1" ht="15.75">
      <c r="B69" s="107"/>
      <c r="C69" s="108" t="s">
        <v>44</v>
      </c>
      <c r="D69" s="108" t="s">
        <v>55</v>
      </c>
      <c r="E69" s="108" t="s">
        <v>70</v>
      </c>
      <c r="F69" s="108" t="s">
        <v>72</v>
      </c>
      <c r="G69" s="108" t="s">
        <v>82</v>
      </c>
      <c r="H69" s="108">
        <v>2006</v>
      </c>
      <c r="I69" s="108" t="s">
        <v>346</v>
      </c>
      <c r="M69" s="110"/>
      <c r="N69" s="110"/>
      <c r="O69" s="110"/>
      <c r="P69" s="110"/>
      <c r="Q69" s="110"/>
      <c r="R69" s="110"/>
      <c r="S69" s="110"/>
      <c r="T69" s="110"/>
    </row>
    <row r="70" spans="2:20" ht="30">
      <c r="B70" s="53" t="s">
        <v>206</v>
      </c>
      <c r="C70" s="55">
        <v>0.86842105263157898</v>
      </c>
      <c r="D70" s="55">
        <v>1</v>
      </c>
      <c r="E70" s="55">
        <v>1.0714285714285714</v>
      </c>
      <c r="F70" s="55">
        <v>1.1351351351351351</v>
      </c>
      <c r="G70" s="57">
        <f>63/37</f>
        <v>1.7027027027027026</v>
      </c>
      <c r="H70" s="58">
        <f>80/42</f>
        <v>1.9047619047619047</v>
      </c>
      <c r="I70" s="52">
        <v>2.1</v>
      </c>
      <c r="J70"/>
      <c r="K70"/>
      <c r="L70"/>
      <c r="Q70" s="3"/>
      <c r="R70" s="3"/>
      <c r="S70" s="3"/>
      <c r="T70" s="3"/>
    </row>
    <row r="71" spans="2:20" ht="30">
      <c r="B71" s="53" t="s">
        <v>207</v>
      </c>
      <c r="C71" s="55">
        <v>0.97368421052631582</v>
      </c>
      <c r="D71" s="55">
        <v>1.1351351351351351</v>
      </c>
      <c r="E71" s="55">
        <v>1.3611111111111112</v>
      </c>
      <c r="F71" s="55">
        <v>1.6285714285714286</v>
      </c>
      <c r="G71" s="67">
        <f>67/36</f>
        <v>1.8611111111111112</v>
      </c>
      <c r="H71" s="58">
        <f>71/35</f>
        <v>2.0285714285714285</v>
      </c>
      <c r="I71" s="52">
        <v>2.1</v>
      </c>
      <c r="J71"/>
      <c r="K71"/>
      <c r="L71"/>
      <c r="Q71" s="3"/>
      <c r="R71" s="3"/>
      <c r="S71" s="3"/>
      <c r="T71" s="3"/>
    </row>
    <row r="72" spans="2:20" ht="30">
      <c r="B72" s="53" t="s">
        <v>182</v>
      </c>
      <c r="C72" s="55">
        <v>0.63157894736842102</v>
      </c>
      <c r="D72" s="55">
        <v>1</v>
      </c>
      <c r="E72" s="55">
        <v>1.0238095238095237</v>
      </c>
      <c r="F72" s="55">
        <v>0.97297297297297303</v>
      </c>
      <c r="G72" s="57">
        <f>40/37</f>
        <v>1.0810810810810811</v>
      </c>
      <c r="H72" s="58">
        <f>45/42</f>
        <v>1.0714285714285714</v>
      </c>
      <c r="I72" s="52">
        <v>1.1000000000000001</v>
      </c>
      <c r="J72"/>
      <c r="K72"/>
      <c r="L72"/>
      <c r="Q72" s="3"/>
      <c r="R72" s="3"/>
      <c r="S72" s="3"/>
      <c r="T72" s="3"/>
    </row>
    <row r="73" spans="2:20" ht="30">
      <c r="B73" s="53" t="s">
        <v>183</v>
      </c>
      <c r="C73" s="55">
        <v>1.0789473684210527</v>
      </c>
      <c r="D73" s="55">
        <v>1</v>
      </c>
      <c r="E73" s="55">
        <v>1.4444444444444444</v>
      </c>
      <c r="F73" s="55">
        <v>1.9428571428571428</v>
      </c>
      <c r="G73" s="67">
        <f>59/36</f>
        <v>1.6388888888888888</v>
      </c>
      <c r="H73" s="58">
        <f>87/35</f>
        <v>2.4857142857142858</v>
      </c>
      <c r="I73" s="113">
        <v>4</v>
      </c>
      <c r="J73"/>
      <c r="K73"/>
      <c r="L73"/>
      <c r="Q73" s="3"/>
      <c r="R73" s="3"/>
      <c r="S73" s="3"/>
      <c r="T73" s="3"/>
    </row>
    <row r="74" spans="2:20">
      <c r="I74"/>
      <c r="J74"/>
      <c r="K74"/>
      <c r="L74"/>
      <c r="Q74" s="3"/>
      <c r="R74" s="3"/>
      <c r="S74" s="3"/>
      <c r="T74" s="3"/>
    </row>
    <row r="75" spans="2:20">
      <c r="D75" s="15"/>
      <c r="F75" s="15"/>
      <c r="I75"/>
      <c r="J75"/>
      <c r="K75"/>
      <c r="L75"/>
      <c r="Q75" s="3"/>
      <c r="R75" s="3"/>
      <c r="S75" s="3"/>
      <c r="T75" s="3"/>
    </row>
    <row r="76" spans="2:20" s="109" customFormat="1" ht="15.75">
      <c r="B76" s="107"/>
      <c r="C76" s="107">
        <v>2001</v>
      </c>
      <c r="D76" s="107">
        <v>2002</v>
      </c>
      <c r="E76" s="107">
        <v>2003</v>
      </c>
      <c r="F76" s="107">
        <v>2004</v>
      </c>
      <c r="G76" s="107">
        <v>2005</v>
      </c>
      <c r="H76" s="107">
        <v>2006</v>
      </c>
      <c r="I76" s="107">
        <v>2007</v>
      </c>
      <c r="J76" s="110"/>
      <c r="K76" s="110"/>
      <c r="L76" s="110"/>
      <c r="M76" s="110"/>
      <c r="N76" s="110"/>
      <c r="O76" s="110"/>
      <c r="P76" s="110"/>
    </row>
    <row r="77" spans="2:20">
      <c r="B77" s="53" t="s">
        <v>184</v>
      </c>
      <c r="C77" s="55">
        <v>63.157894736842103</v>
      </c>
      <c r="D77" s="54">
        <v>60</v>
      </c>
      <c r="E77" s="55">
        <v>64.285714285714292</v>
      </c>
      <c r="F77" s="56">
        <v>81.081081081081081</v>
      </c>
      <c r="G77" s="57">
        <f>36/37*100</f>
        <v>97.297297297297305</v>
      </c>
      <c r="H77" s="58">
        <f>37/42*100</f>
        <v>88.095238095238088</v>
      </c>
      <c r="I77" s="52">
        <v>85.7</v>
      </c>
      <c r="J77"/>
      <c r="K77"/>
      <c r="L77"/>
      <c r="Q77" s="3"/>
      <c r="R77" s="3"/>
      <c r="S77" s="3"/>
      <c r="T77" s="3"/>
    </row>
    <row r="78" spans="2:20">
      <c r="B78" s="53" t="s">
        <v>185</v>
      </c>
      <c r="C78" s="55">
        <v>55.26315789473685</v>
      </c>
      <c r="D78" s="54">
        <v>67.567567567567565</v>
      </c>
      <c r="E78" s="55">
        <v>80.555555555555557</v>
      </c>
      <c r="F78" s="56">
        <v>97.142857142857139</v>
      </c>
      <c r="G78" s="67">
        <f>36/36*100</f>
        <v>100</v>
      </c>
      <c r="H78" s="58">
        <f>35/35*100</f>
        <v>100</v>
      </c>
      <c r="I78" s="52">
        <v>97.1</v>
      </c>
      <c r="J78"/>
      <c r="K78"/>
      <c r="L78"/>
      <c r="Q78" s="3"/>
      <c r="R78" s="3"/>
      <c r="S78" s="3"/>
      <c r="T78" s="3"/>
    </row>
    <row r="79" spans="2:20">
      <c r="I79"/>
      <c r="J79"/>
      <c r="K79"/>
      <c r="L79"/>
      <c r="Q79" s="3"/>
      <c r="R79" s="3"/>
      <c r="S79" s="3"/>
      <c r="T79" s="3"/>
    </row>
    <row r="80" spans="2:20">
      <c r="I80"/>
      <c r="J80"/>
      <c r="K80"/>
      <c r="L80"/>
      <c r="Q80" s="3"/>
      <c r="R80" s="3"/>
      <c r="S80" s="3"/>
      <c r="T80" s="3"/>
    </row>
    <row r="81" spans="2:20">
      <c r="D81" s="3"/>
      <c r="I81"/>
      <c r="J81"/>
      <c r="K81"/>
      <c r="L81"/>
      <c r="Q81" s="3"/>
      <c r="R81" s="3"/>
      <c r="S81" s="3"/>
      <c r="T81" s="3"/>
    </row>
    <row r="82" spans="2:20">
      <c r="C82" s="14">
        <v>2001</v>
      </c>
      <c r="D82" s="14">
        <v>2002</v>
      </c>
      <c r="E82" s="14">
        <v>2003</v>
      </c>
      <c r="F82" s="14">
        <v>2004</v>
      </c>
      <c r="G82" s="14">
        <v>2005</v>
      </c>
      <c r="H82" s="14"/>
      <c r="I82"/>
      <c r="J82"/>
      <c r="K82"/>
      <c r="L82"/>
      <c r="Q82" s="3"/>
      <c r="R82" s="3"/>
      <c r="S82" s="3"/>
      <c r="T82" s="3"/>
    </row>
    <row r="83" spans="2:20">
      <c r="B83" s="21" t="s">
        <v>186</v>
      </c>
      <c r="C83" s="31">
        <v>2.6</v>
      </c>
      <c r="D83" s="30">
        <v>2.6</v>
      </c>
      <c r="E83" s="26">
        <v>2.6</v>
      </c>
      <c r="F83" s="27">
        <v>2.8</v>
      </c>
      <c r="G83" s="28">
        <f>52.6/18</f>
        <v>2.9222222222222225</v>
      </c>
      <c r="H83" s="35"/>
      <c r="I83"/>
      <c r="J83"/>
      <c r="K83"/>
      <c r="L83"/>
      <c r="Q83" s="3"/>
      <c r="R83" s="3"/>
      <c r="S83" s="3"/>
      <c r="T83" s="3"/>
    </row>
    <row r="84" spans="2:20">
      <c r="B84" s="21" t="s">
        <v>187</v>
      </c>
      <c r="C84" s="26">
        <v>2.7028571428571433</v>
      </c>
      <c r="D84" s="30">
        <v>2.5166666666666666</v>
      </c>
      <c r="E84" s="26">
        <v>2.98</v>
      </c>
      <c r="F84" s="27">
        <v>2.9066666666666667</v>
      </c>
      <c r="G84" s="28">
        <f>85.8/28</f>
        <v>3.0642857142857141</v>
      </c>
      <c r="H84" s="35"/>
      <c r="I84"/>
      <c r="J84"/>
      <c r="K84"/>
      <c r="L84"/>
      <c r="Q84" s="3"/>
      <c r="R84" s="3"/>
      <c r="S84" s="3"/>
      <c r="T84" s="3"/>
    </row>
    <row r="85" spans="2:20">
      <c r="B85" s="21" t="s">
        <v>188</v>
      </c>
      <c r="C85" s="26">
        <v>4.83</v>
      </c>
      <c r="D85" s="30">
        <v>4.7</v>
      </c>
      <c r="E85" s="26">
        <v>4.5</v>
      </c>
      <c r="F85" s="27">
        <v>4.5</v>
      </c>
      <c r="G85" s="28">
        <f>67.2/15</f>
        <v>4.4800000000000004</v>
      </c>
      <c r="H85" s="36"/>
      <c r="I85"/>
      <c r="J85"/>
      <c r="K85"/>
      <c r="L85"/>
      <c r="Q85" s="3"/>
      <c r="R85" s="3"/>
      <c r="S85" s="3"/>
      <c r="T85" s="3"/>
    </row>
    <row r="86" spans="2:20">
      <c r="B86" s="21" t="s">
        <v>189</v>
      </c>
      <c r="C86" s="26">
        <v>3.5840000000000005</v>
      </c>
      <c r="D86" s="30">
        <v>4.2272727272727275</v>
      </c>
      <c r="E86" s="30">
        <v>4.8733333333333331</v>
      </c>
      <c r="F86" s="27">
        <v>4.4666666666666668</v>
      </c>
      <c r="G86" s="28">
        <f>55.7/13</f>
        <v>4.2846153846153845</v>
      </c>
      <c r="H86" s="20"/>
      <c r="I86"/>
      <c r="J86"/>
      <c r="K86"/>
      <c r="L86"/>
      <c r="Q86" s="3"/>
      <c r="R86" s="3"/>
      <c r="S86" s="3"/>
      <c r="T86" s="3"/>
    </row>
    <row r="87" spans="2:20">
      <c r="B87"/>
      <c r="C87"/>
      <c r="D87"/>
      <c r="E87"/>
      <c r="F87"/>
      <c r="G87"/>
      <c r="H87"/>
      <c r="I87"/>
      <c r="J87"/>
      <c r="K87"/>
      <c r="L87"/>
      <c r="Q87" s="3"/>
      <c r="R87" s="3"/>
      <c r="S87" s="3"/>
      <c r="T87" s="3"/>
    </row>
    <row r="88" spans="2:20" s="4" customFormat="1">
      <c r="B88" s="106"/>
      <c r="C88" s="105">
        <v>2002</v>
      </c>
      <c r="D88" s="105">
        <v>2003</v>
      </c>
      <c r="E88" s="105">
        <v>2004</v>
      </c>
      <c r="F88" s="105">
        <v>2005</v>
      </c>
      <c r="G88" s="105">
        <v>2006</v>
      </c>
      <c r="H88" s="105">
        <v>2007</v>
      </c>
      <c r="I88" s="104"/>
      <c r="J88" s="104"/>
      <c r="K88" s="104"/>
      <c r="L88" s="104"/>
      <c r="M88" s="104"/>
      <c r="N88" s="104"/>
      <c r="O88" s="104"/>
      <c r="P88" s="104"/>
    </row>
    <row r="89" spans="2:20">
      <c r="B89" s="53" t="s">
        <v>190</v>
      </c>
      <c r="C89" s="54">
        <v>62.857142857142854</v>
      </c>
      <c r="D89" s="55">
        <v>72.222222222222214</v>
      </c>
      <c r="E89" s="56">
        <v>63.157894736842103</v>
      </c>
      <c r="F89" s="57">
        <f>18/23*100</f>
        <v>78.260869565217391</v>
      </c>
      <c r="G89" s="58">
        <f>13/18*100</f>
        <v>72.222222222222214</v>
      </c>
      <c r="H89" s="52">
        <v>69.7</v>
      </c>
      <c r="I89"/>
      <c r="J89"/>
      <c r="K89"/>
      <c r="L89"/>
      <c r="P89" s="3"/>
      <c r="Q89" s="3"/>
      <c r="R89" s="3"/>
      <c r="S89" s="3"/>
      <c r="T89" s="3"/>
    </row>
    <row r="90" spans="2:20">
      <c r="B90" s="53" t="s">
        <v>191</v>
      </c>
      <c r="C90" s="54">
        <v>61.428571428571431</v>
      </c>
      <c r="D90" s="55">
        <v>55.555555555555557</v>
      </c>
      <c r="E90" s="56">
        <v>47.368421052631575</v>
      </c>
      <c r="F90" s="58">
        <f>15/23*100</f>
        <v>65.217391304347828</v>
      </c>
      <c r="G90" s="58">
        <f>16/18*100</f>
        <v>88.888888888888886</v>
      </c>
      <c r="H90" s="52">
        <v>69.7</v>
      </c>
      <c r="I90"/>
      <c r="J90"/>
      <c r="K90"/>
      <c r="L90"/>
      <c r="P90" s="3"/>
      <c r="Q90" s="3"/>
      <c r="R90" s="3"/>
      <c r="S90" s="3"/>
      <c r="T90" s="3"/>
    </row>
    <row r="91" spans="2:20">
      <c r="B91" s="53" t="s">
        <v>192</v>
      </c>
      <c r="C91" s="54">
        <v>48.571428571428569</v>
      </c>
      <c r="D91" s="55">
        <v>56.25</v>
      </c>
      <c r="E91" s="56">
        <v>58.333333333333336</v>
      </c>
      <c r="F91" s="57">
        <f>16/21*100</f>
        <v>76.19047619047619</v>
      </c>
      <c r="G91" s="58">
        <f>9/13*100</f>
        <v>69.230769230769226</v>
      </c>
      <c r="H91" s="52">
        <v>73.3</v>
      </c>
      <c r="I91"/>
      <c r="J91"/>
      <c r="K91"/>
      <c r="L91"/>
      <c r="P91" s="3"/>
      <c r="Q91" s="3"/>
      <c r="R91" s="3"/>
      <c r="S91" s="3"/>
      <c r="T91" s="3"/>
    </row>
    <row r="92" spans="2:20">
      <c r="B92" s="53" t="s">
        <v>193</v>
      </c>
      <c r="C92" s="54">
        <v>57.142857142857139</v>
      </c>
      <c r="D92" s="54">
        <v>56.25</v>
      </c>
      <c r="E92" s="56">
        <v>58.333333333333336</v>
      </c>
      <c r="F92" s="59">
        <f>14/21*100</f>
        <v>66.666666666666657</v>
      </c>
      <c r="G92" s="58">
        <f>9/13*100</f>
        <v>69.230769230769226</v>
      </c>
      <c r="H92" s="52">
        <v>53.3</v>
      </c>
      <c r="I92"/>
      <c r="J92"/>
      <c r="K92"/>
      <c r="L92"/>
      <c r="P92" s="3"/>
      <c r="Q92" s="3"/>
      <c r="R92" s="3"/>
      <c r="S92" s="3"/>
      <c r="T92" s="3"/>
    </row>
    <row r="93" spans="2:20">
      <c r="I93"/>
      <c r="J93"/>
      <c r="K93"/>
      <c r="L93"/>
      <c r="Q93" s="3"/>
      <c r="R93" s="3"/>
      <c r="S93" s="3"/>
      <c r="T93" s="3"/>
    </row>
    <row r="94" spans="2:20">
      <c r="D94" s="15"/>
      <c r="F94" s="15"/>
      <c r="I94"/>
      <c r="J94"/>
      <c r="K94"/>
      <c r="L94"/>
      <c r="Q94" s="3"/>
      <c r="R94" s="3"/>
      <c r="S94" s="3"/>
      <c r="T94" s="3"/>
    </row>
    <row r="95" spans="2:20" s="4" customFormat="1">
      <c r="B95" s="105"/>
      <c r="C95" s="105">
        <v>2001</v>
      </c>
      <c r="D95" s="105">
        <v>2002</v>
      </c>
      <c r="E95" s="105">
        <v>2003</v>
      </c>
      <c r="F95" s="105">
        <v>2004</v>
      </c>
      <c r="G95" s="105">
        <v>2005</v>
      </c>
      <c r="H95" s="105">
        <v>2006</v>
      </c>
      <c r="I95" s="105">
        <v>2007</v>
      </c>
      <c r="J95" s="104"/>
      <c r="K95" s="104"/>
      <c r="L95" s="104"/>
      <c r="M95" s="104"/>
      <c r="N95" s="104"/>
      <c r="O95" s="104"/>
      <c r="P95" s="104"/>
    </row>
    <row r="96" spans="2:20" ht="45">
      <c r="B96" s="53" t="s">
        <v>359</v>
      </c>
      <c r="C96" s="55">
        <f>5500/76597*100</f>
        <v>7.1804378761570291</v>
      </c>
      <c r="D96" s="54">
        <f>4000/68828*100</f>
        <v>5.8115883070843264</v>
      </c>
      <c r="E96" s="55">
        <f>6000/84713*100</f>
        <v>7.0827381865829331</v>
      </c>
      <c r="F96" s="56">
        <f>8500/91924*100</f>
        <v>9.2467690701013883</v>
      </c>
      <c r="G96" s="57">
        <f>11600/94454*100</f>
        <v>12.281110381773139</v>
      </c>
      <c r="H96" s="58">
        <f>13400/100737*100</f>
        <v>13.301964521476716</v>
      </c>
      <c r="I96" s="52">
        <v>16.100000000000001</v>
      </c>
      <c r="J96"/>
      <c r="K96"/>
      <c r="L96"/>
      <c r="Q96" s="3"/>
      <c r="R96" s="3"/>
      <c r="S96" s="3"/>
      <c r="T96" s="3"/>
    </row>
    <row r="97" spans="2:20" ht="45">
      <c r="B97" s="53" t="s">
        <v>360</v>
      </c>
      <c r="C97" s="55">
        <f>5768/74941*100</f>
        <v>7.6967214208510697</v>
      </c>
      <c r="D97" s="54">
        <f>4386/72056*100</f>
        <v>6.0869323859220605</v>
      </c>
      <c r="E97" s="55">
        <f>5995/93706*100</f>
        <v>6.3976693061276766</v>
      </c>
      <c r="F97" s="56">
        <f>8535/92836*100</f>
        <v>9.1936317807746999</v>
      </c>
      <c r="G97" s="59">
        <f>12444/100755*100</f>
        <v>12.350751823730832</v>
      </c>
      <c r="H97" s="58">
        <f>14258.8/109812.4*100</f>
        <v>12.984690253559709</v>
      </c>
      <c r="I97" s="52">
        <v>13.3</v>
      </c>
      <c r="J97"/>
      <c r="K97"/>
      <c r="L97"/>
      <c r="Q97" s="3"/>
      <c r="R97" s="3"/>
      <c r="S97" s="3"/>
      <c r="T97" s="3"/>
    </row>
    <row r="98" spans="2:20">
      <c r="B98" s="6" t="s">
        <v>194</v>
      </c>
      <c r="C98" s="38">
        <f>8400/76597*100</f>
        <v>10.966486938130735</v>
      </c>
      <c r="D98" s="39">
        <f>2500/68828*100</f>
        <v>3.6322426919277042</v>
      </c>
      <c r="E98" s="40">
        <f>5000/84713*100</f>
        <v>5.9022818221524442</v>
      </c>
      <c r="F98" s="16">
        <f>5500/91924*100</f>
        <v>5.9832035159479569</v>
      </c>
      <c r="I98"/>
      <c r="J98"/>
      <c r="K98"/>
      <c r="L98"/>
      <c r="Q98" s="3"/>
      <c r="R98" s="3"/>
      <c r="S98" s="3"/>
      <c r="T98" s="3"/>
    </row>
    <row r="99" spans="2:20">
      <c r="B99" s="6" t="s">
        <v>195</v>
      </c>
      <c r="C99" s="17">
        <f>4970/74941*100</f>
        <v>6.6318837485488586</v>
      </c>
      <c r="D99" s="18">
        <f>3854/72056*100</f>
        <v>5.3486177417564118</v>
      </c>
      <c r="E99" s="17">
        <f>5397/93706*100</f>
        <v>5.759503126800845</v>
      </c>
      <c r="F99" s="19">
        <f>12626/92836*100</f>
        <v>13.600327459175322</v>
      </c>
      <c r="I99"/>
      <c r="J99"/>
      <c r="K99"/>
      <c r="L99"/>
      <c r="Q99" s="3"/>
      <c r="R99" s="3"/>
      <c r="S99" s="3"/>
      <c r="T99" s="3"/>
    </row>
    <row r="102" spans="2:20">
      <c r="B102" s="22"/>
      <c r="C102" s="37">
        <v>2005</v>
      </c>
      <c r="D102" s="66"/>
    </row>
    <row r="103" spans="2:20" ht="49.5" customHeight="1">
      <c r="B103" s="21" t="s">
        <v>217</v>
      </c>
      <c r="C103" s="46">
        <f>35/36</f>
        <v>0.97222222222222221</v>
      </c>
      <c r="D103" s="63"/>
    </row>
    <row r="104" spans="2:20" s="64" customFormat="1" ht="49.5" customHeight="1">
      <c r="B104" s="61"/>
      <c r="C104" s="62"/>
      <c r="D104" s="63"/>
      <c r="M104" s="65"/>
      <c r="N104" s="65"/>
      <c r="O104" s="65"/>
      <c r="P104" s="65"/>
      <c r="Q104" s="65"/>
      <c r="R104" s="65"/>
      <c r="S104" s="65"/>
      <c r="T104" s="65"/>
    </row>
    <row r="105" spans="2:20" ht="15.75">
      <c r="B105" s="21"/>
      <c r="C105" s="111">
        <v>2005</v>
      </c>
      <c r="D105" s="111">
        <v>2006</v>
      </c>
      <c r="E105" s="112">
        <v>2007</v>
      </c>
    </row>
    <row r="106" spans="2:20">
      <c r="B106" s="53" t="s">
        <v>91</v>
      </c>
      <c r="C106" s="55">
        <v>1</v>
      </c>
      <c r="D106" s="69">
        <f>3/4</f>
        <v>0.75</v>
      </c>
      <c r="E106" s="105">
        <v>0.75</v>
      </c>
    </row>
    <row r="107" spans="2:20">
      <c r="D107" s="3"/>
    </row>
    <row r="109" spans="2:20">
      <c r="E109" s="37" t="s">
        <v>196</v>
      </c>
      <c r="F109" s="37" t="s">
        <v>94</v>
      </c>
      <c r="G109" s="37"/>
    </row>
    <row r="110" spans="2:20" ht="38.25">
      <c r="E110" s="26" t="s">
        <v>197</v>
      </c>
      <c r="F110" s="27" t="s">
        <v>95</v>
      </c>
      <c r="G110" s="28"/>
    </row>
    <row r="111" spans="2:20">
      <c r="E111" s="26"/>
      <c r="F111" s="27"/>
      <c r="G111" s="33">
        <f>9.2+13.6</f>
        <v>22.799999999999997</v>
      </c>
    </row>
  </sheetData>
  <mergeCells count="18">
    <mergeCell ref="K49:L49"/>
    <mergeCell ref="G49:H49"/>
    <mergeCell ref="I49:J49"/>
    <mergeCell ref="D5:D6"/>
    <mergeCell ref="E5:F5"/>
    <mergeCell ref="E7:E8"/>
    <mergeCell ref="F7:F8"/>
    <mergeCell ref="G7:G8"/>
    <mergeCell ref="I5:J5"/>
    <mergeCell ref="H7:H8"/>
    <mergeCell ref="G5:H5"/>
    <mergeCell ref="B5:B6"/>
    <mergeCell ref="C5:C6"/>
    <mergeCell ref="C49:D49"/>
    <mergeCell ref="E49:F49"/>
    <mergeCell ref="B10:B15"/>
    <mergeCell ref="B16:B17"/>
    <mergeCell ref="B7:B9"/>
  </mergeCells>
  <phoneticPr fontId="5" type="noConversion"/>
  <pageMargins left="0.75" right="0.75" top="1" bottom="1" header="0" footer="0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3"/>
  <dimension ref="C3:Q224"/>
  <sheetViews>
    <sheetView topLeftCell="E1" workbookViewId="0">
      <selection activeCell="Q13" sqref="Q13:Q17"/>
    </sheetView>
  </sheetViews>
  <sheetFormatPr baseColWidth="10" defaultRowHeight="12.75"/>
  <cols>
    <col min="3" max="3" width="19.42578125" style="134" customWidth="1"/>
    <col min="5" max="5" width="18.28515625" style="115" customWidth="1"/>
    <col min="7" max="7" width="18" style="115" customWidth="1"/>
    <col min="11" max="11" width="15.140625" customWidth="1"/>
  </cols>
  <sheetData>
    <row r="3" spans="3:17">
      <c r="C3" s="116">
        <v>2006</v>
      </c>
      <c r="E3" s="116">
        <v>2007</v>
      </c>
      <c r="G3" s="116">
        <v>2008</v>
      </c>
      <c r="I3">
        <v>2011</v>
      </c>
    </row>
    <row r="4" spans="3:17">
      <c r="C4" s="117" t="s">
        <v>467</v>
      </c>
      <c r="E4" s="117" t="s">
        <v>467</v>
      </c>
      <c r="G4" s="117" t="s">
        <v>467</v>
      </c>
    </row>
    <row r="5" spans="3:17" ht="15">
      <c r="C5" s="118" t="s">
        <v>468</v>
      </c>
      <c r="E5" s="119">
        <v>4.22</v>
      </c>
      <c r="G5" s="120"/>
      <c r="I5" s="156">
        <v>7.6219999999999999</v>
      </c>
    </row>
    <row r="6" spans="3:17" ht="15">
      <c r="C6" s="121">
        <v>2.8250000000000002</v>
      </c>
      <c r="E6" s="119">
        <v>3.0369999999999999</v>
      </c>
      <c r="G6" s="122">
        <v>7.18</v>
      </c>
      <c r="I6" s="157">
        <v>6.6020000000000003</v>
      </c>
    </row>
    <row r="7" spans="3:17" ht="15">
      <c r="C7" s="121">
        <v>2.8250000000000002</v>
      </c>
      <c r="E7" s="123">
        <v>2.8519999999999999</v>
      </c>
      <c r="G7" s="122">
        <v>7.18</v>
      </c>
      <c r="I7" s="158">
        <v>6.4</v>
      </c>
    </row>
    <row r="8" spans="3:17" ht="15">
      <c r="C8" s="121">
        <v>2.8250000000000002</v>
      </c>
      <c r="E8" s="123">
        <v>2.7010000000000001</v>
      </c>
      <c r="G8" s="124">
        <v>5.4059999999999997</v>
      </c>
      <c r="I8" s="173">
        <v>4.8959999999999999</v>
      </c>
    </row>
    <row r="9" spans="3:17" ht="15">
      <c r="C9" s="121">
        <v>2.8250000000000002</v>
      </c>
      <c r="E9" s="123">
        <v>2.6269999999999998</v>
      </c>
      <c r="G9" s="125">
        <v>4.4580000000000002</v>
      </c>
      <c r="I9" s="174">
        <v>4.7460000000000004</v>
      </c>
    </row>
    <row r="10" spans="3:17" ht="15">
      <c r="C10" s="121">
        <v>2.391</v>
      </c>
      <c r="E10" s="123">
        <v>2.5419999999999998</v>
      </c>
      <c r="G10" s="126">
        <v>4.4530000000000003</v>
      </c>
      <c r="I10" s="174">
        <v>4.3259999999999996</v>
      </c>
    </row>
    <row r="11" spans="3:17" ht="15">
      <c r="C11" s="121">
        <v>2.3330000000000002</v>
      </c>
      <c r="E11" s="123">
        <v>2.4380000000000002</v>
      </c>
      <c r="G11" s="125">
        <v>4.194</v>
      </c>
      <c r="I11" s="175">
        <v>4.29</v>
      </c>
    </row>
    <row r="12" spans="3:17" ht="15">
      <c r="C12" s="121">
        <v>2.3039999999999998</v>
      </c>
      <c r="E12" s="123">
        <v>2.1869999999999998</v>
      </c>
      <c r="G12" s="125">
        <v>3.58</v>
      </c>
      <c r="I12" s="173">
        <v>4.2690000000000001</v>
      </c>
      <c r="K12" s="127"/>
      <c r="L12" s="127">
        <v>2006</v>
      </c>
      <c r="M12" s="127">
        <v>2007</v>
      </c>
      <c r="N12" s="127">
        <v>2008</v>
      </c>
      <c r="O12" s="127">
        <v>2009</v>
      </c>
      <c r="P12" s="127">
        <v>2010</v>
      </c>
      <c r="Q12" s="127">
        <v>2011</v>
      </c>
    </row>
    <row r="13" spans="3:17" ht="15">
      <c r="C13" s="121">
        <v>2.2999999999999998</v>
      </c>
      <c r="E13" s="123">
        <v>2.1349999999999998</v>
      </c>
      <c r="G13" s="125">
        <v>3.3959999999999999</v>
      </c>
      <c r="I13" s="173">
        <v>3.794</v>
      </c>
      <c r="K13" s="176" t="s">
        <v>469</v>
      </c>
      <c r="L13" s="176">
        <v>36</v>
      </c>
      <c r="M13" s="176">
        <v>29</v>
      </c>
      <c r="N13" s="176">
        <v>32</v>
      </c>
      <c r="O13" s="176">
        <v>23</v>
      </c>
      <c r="P13" s="177">
        <v>27</v>
      </c>
      <c r="Q13" s="177">
        <v>29</v>
      </c>
    </row>
    <row r="14" spans="3:17" ht="15">
      <c r="C14" s="121">
        <v>2.19</v>
      </c>
      <c r="E14" s="123">
        <v>2.1349999999999998</v>
      </c>
      <c r="G14" s="125">
        <v>3.39</v>
      </c>
      <c r="I14" s="173">
        <v>3.7909999999999999</v>
      </c>
      <c r="K14" s="178" t="s">
        <v>470</v>
      </c>
      <c r="L14" s="178">
        <v>20</v>
      </c>
      <c r="M14" s="178">
        <v>33</v>
      </c>
      <c r="N14" s="178">
        <v>49</v>
      </c>
      <c r="O14" s="178">
        <v>60</v>
      </c>
      <c r="P14" s="179">
        <v>42</v>
      </c>
      <c r="Q14" s="179">
        <v>30</v>
      </c>
    </row>
    <row r="15" spans="3:17" ht="15">
      <c r="C15" s="121">
        <v>2.19</v>
      </c>
      <c r="E15" s="128">
        <v>1.9870000000000001</v>
      </c>
      <c r="G15" s="125">
        <v>3.19</v>
      </c>
      <c r="I15" s="173">
        <v>3.774</v>
      </c>
      <c r="K15" s="180" t="s">
        <v>471</v>
      </c>
      <c r="L15" s="180">
        <v>14</v>
      </c>
      <c r="M15" s="180">
        <v>8</v>
      </c>
      <c r="N15" s="180">
        <v>9</v>
      </c>
      <c r="O15" s="180">
        <v>19</v>
      </c>
      <c r="P15" s="181">
        <v>20</v>
      </c>
      <c r="Q15" s="181">
        <v>36</v>
      </c>
    </row>
    <row r="16" spans="3:17" ht="15">
      <c r="C16" s="121">
        <v>2.1869999999999998</v>
      </c>
      <c r="E16" s="128">
        <v>1.623</v>
      </c>
      <c r="G16" s="125">
        <v>3.1219999999999999</v>
      </c>
      <c r="I16" s="175">
        <v>3.65</v>
      </c>
      <c r="K16" s="182" t="s">
        <v>472</v>
      </c>
      <c r="L16" s="182">
        <v>0</v>
      </c>
      <c r="M16" s="182">
        <v>2</v>
      </c>
      <c r="N16" s="182">
        <v>8</v>
      </c>
      <c r="O16" s="182">
        <v>9</v>
      </c>
      <c r="P16" s="183">
        <v>14</v>
      </c>
      <c r="Q16" s="183">
        <v>17</v>
      </c>
    </row>
    <row r="17" spans="3:17" ht="15">
      <c r="C17" s="121">
        <v>2.1709999999999998</v>
      </c>
      <c r="E17" s="128">
        <v>1.597</v>
      </c>
      <c r="G17" s="125">
        <v>3.004</v>
      </c>
      <c r="I17" s="173">
        <v>3.4630000000000001</v>
      </c>
      <c r="K17" s="184" t="s">
        <v>473</v>
      </c>
      <c r="L17" s="185">
        <v>0</v>
      </c>
      <c r="M17" s="185">
        <v>0</v>
      </c>
      <c r="N17" s="185">
        <v>0</v>
      </c>
      <c r="O17" s="185">
        <v>2</v>
      </c>
      <c r="P17" s="186">
        <v>1</v>
      </c>
      <c r="Q17" s="186">
        <v>3</v>
      </c>
    </row>
    <row r="18" spans="3:17" ht="15">
      <c r="C18" s="121">
        <v>2.1709999999999998</v>
      </c>
      <c r="E18" s="128">
        <v>1.583</v>
      </c>
      <c r="G18" s="125">
        <v>2.9750000000000001</v>
      </c>
      <c r="I18" s="173">
        <v>3.4630000000000001</v>
      </c>
    </row>
    <row r="19" spans="3:17" ht="15">
      <c r="C19" s="121">
        <v>2.1709999999999998</v>
      </c>
      <c r="E19" s="128">
        <v>1.581</v>
      </c>
      <c r="G19" s="125">
        <v>2.9750000000000001</v>
      </c>
      <c r="I19" s="174">
        <v>3.4540000000000002</v>
      </c>
    </row>
    <row r="20" spans="3:17" ht="15">
      <c r="C20" s="129">
        <v>1.9219999999999999</v>
      </c>
      <c r="E20" s="128">
        <v>1.5629999999999999</v>
      </c>
      <c r="G20" s="125">
        <v>2.9750000000000001</v>
      </c>
      <c r="I20" s="174">
        <v>3.2650000000000001</v>
      </c>
    </row>
    <row r="21" spans="3:17" ht="15">
      <c r="C21" s="129">
        <v>1.867</v>
      </c>
      <c r="E21" s="128">
        <v>1.5629999999999999</v>
      </c>
      <c r="G21" s="125">
        <v>2.2930000000000001</v>
      </c>
      <c r="I21" s="174">
        <v>3.2530000000000001</v>
      </c>
    </row>
    <row r="22" spans="3:17" ht="15">
      <c r="C22" s="129">
        <v>1.7569999999999999</v>
      </c>
      <c r="E22" s="128">
        <v>1.5129999999999999</v>
      </c>
      <c r="G22" s="125">
        <v>2.2930000000000001</v>
      </c>
      <c r="I22" s="173">
        <v>3.226</v>
      </c>
    </row>
    <row r="23" spans="3:17" ht="15">
      <c r="C23" s="129">
        <v>1.623</v>
      </c>
      <c r="E23" s="128">
        <v>1.504</v>
      </c>
      <c r="G23" s="125">
        <v>2.2930000000000001</v>
      </c>
      <c r="I23" s="173">
        <v>3.1549999999999998</v>
      </c>
    </row>
    <row r="24" spans="3:17" ht="15">
      <c r="C24" s="129">
        <v>1.623</v>
      </c>
      <c r="E24" s="128">
        <v>1.49</v>
      </c>
      <c r="G24" s="125">
        <v>2.2930000000000001</v>
      </c>
      <c r="I24" s="173">
        <v>3.0680000000000001</v>
      </c>
    </row>
    <row r="25" spans="3:17" ht="15">
      <c r="C25" s="129">
        <v>1.5980000000000001</v>
      </c>
      <c r="E25" s="128">
        <v>1.369</v>
      </c>
      <c r="G25" s="125">
        <v>2.2010000000000001</v>
      </c>
      <c r="I25" s="168">
        <v>2.9929999999999999</v>
      </c>
    </row>
    <row r="26" spans="3:17" ht="15">
      <c r="C26" s="129">
        <v>1.5980000000000001</v>
      </c>
      <c r="E26" s="128">
        <v>1.34</v>
      </c>
      <c r="G26" s="126">
        <v>2.2010000000000001</v>
      </c>
      <c r="I26" s="169">
        <v>2.87</v>
      </c>
    </row>
    <row r="27" spans="3:17" ht="15">
      <c r="C27" s="129">
        <v>1.575</v>
      </c>
      <c r="E27" s="128">
        <v>1.3240000000000001</v>
      </c>
      <c r="G27" s="125">
        <v>2.2010000000000001</v>
      </c>
      <c r="I27" s="168">
        <v>2.8079999999999998</v>
      </c>
    </row>
    <row r="28" spans="3:17" ht="15">
      <c r="C28" s="129">
        <v>1.5629999999999999</v>
      </c>
      <c r="E28" s="128">
        <v>1.319</v>
      </c>
      <c r="G28" s="125">
        <v>2.2010000000000001</v>
      </c>
      <c r="I28" s="168">
        <v>2.8079999999999998</v>
      </c>
    </row>
    <row r="29" spans="3:17" ht="15">
      <c r="C29" s="129">
        <v>1.5629999999999999</v>
      </c>
      <c r="E29" s="128">
        <v>1.3149999999999999</v>
      </c>
      <c r="G29" s="125">
        <v>2.2010000000000001</v>
      </c>
      <c r="I29" s="170">
        <v>2.8079999999999998</v>
      </c>
    </row>
    <row r="30" spans="3:17" ht="15">
      <c r="C30" s="129">
        <v>1.4219999999999999</v>
      </c>
      <c r="E30" s="128">
        <v>1.284</v>
      </c>
      <c r="G30" s="125">
        <v>2.2000000000000002</v>
      </c>
      <c r="I30" s="168">
        <v>2.8079999999999998</v>
      </c>
    </row>
    <row r="31" spans="3:17" ht="15">
      <c r="C31" s="129">
        <v>1.41</v>
      </c>
      <c r="E31" s="128">
        <v>1.248</v>
      </c>
      <c r="G31" s="125">
        <v>2.1040000000000001</v>
      </c>
      <c r="I31" s="170">
        <v>2.8079999999999998</v>
      </c>
    </row>
    <row r="32" spans="3:17" ht="15">
      <c r="C32" s="130">
        <v>1.3240000000000001</v>
      </c>
      <c r="E32" s="128">
        <v>1.248</v>
      </c>
      <c r="G32" s="126">
        <v>2.1040000000000001</v>
      </c>
      <c r="I32" s="170">
        <v>2.8079999999999998</v>
      </c>
    </row>
    <row r="33" spans="3:9" ht="15">
      <c r="C33" s="129">
        <v>1.32</v>
      </c>
      <c r="E33" s="128">
        <v>1.248</v>
      </c>
      <c r="G33" s="125">
        <v>2.1040000000000001</v>
      </c>
      <c r="I33" s="168">
        <v>2.8079999999999998</v>
      </c>
    </row>
    <row r="34" spans="3:9" ht="15">
      <c r="C34" s="129">
        <v>1.284</v>
      </c>
      <c r="E34" s="128">
        <v>1.22</v>
      </c>
      <c r="G34" s="125">
        <v>2.101</v>
      </c>
      <c r="I34" s="170">
        <v>2.8079999999999998</v>
      </c>
    </row>
    <row r="35" spans="3:9" ht="15">
      <c r="C35" s="129">
        <v>1.284</v>
      </c>
      <c r="E35" s="128">
        <v>1.1830000000000001</v>
      </c>
      <c r="G35" s="125">
        <v>2.056</v>
      </c>
      <c r="I35" s="168">
        <v>2.8079999999999998</v>
      </c>
    </row>
    <row r="36" spans="3:9" ht="15">
      <c r="C36" s="129">
        <v>1.2370000000000001</v>
      </c>
      <c r="E36" s="128">
        <v>1.1080000000000001</v>
      </c>
      <c r="G36" s="131">
        <v>2.04</v>
      </c>
      <c r="I36" s="168">
        <v>2.8079999999999998</v>
      </c>
    </row>
    <row r="37" spans="3:9" ht="15">
      <c r="C37" s="129">
        <v>1.1080000000000001</v>
      </c>
      <c r="E37" s="128">
        <v>1.0860000000000001</v>
      </c>
      <c r="G37" s="131">
        <v>2.0179999999999998</v>
      </c>
      <c r="I37" s="168">
        <v>2.8079999999999998</v>
      </c>
    </row>
    <row r="38" spans="3:9" ht="15">
      <c r="C38" s="129">
        <v>1.0620000000000001</v>
      </c>
      <c r="E38" s="128">
        <v>1.08</v>
      </c>
      <c r="G38" s="131">
        <v>2.0049999999999999</v>
      </c>
      <c r="I38" s="168">
        <v>2.8079999999999998</v>
      </c>
    </row>
    <row r="39" spans="3:9" ht="15">
      <c r="C39" s="129">
        <v>1.0269999999999999</v>
      </c>
      <c r="E39" s="128">
        <v>1.08</v>
      </c>
      <c r="G39" s="131">
        <v>2.0049999999999999</v>
      </c>
      <c r="I39" s="168">
        <v>2.8079999999999998</v>
      </c>
    </row>
    <row r="40" spans="3:9" ht="15">
      <c r="C40" s="132">
        <v>0.98199999999999998</v>
      </c>
      <c r="E40" s="128">
        <v>1.08</v>
      </c>
      <c r="G40" s="131">
        <v>1.9430000000000001</v>
      </c>
      <c r="I40" s="168">
        <v>2.8079999999999998</v>
      </c>
    </row>
    <row r="41" spans="3:9" ht="15">
      <c r="C41" s="132">
        <v>0.98199999999999998</v>
      </c>
      <c r="E41" s="128">
        <v>1.08</v>
      </c>
      <c r="G41" s="131">
        <v>1.9</v>
      </c>
      <c r="I41" s="168">
        <v>2.8079999999999998</v>
      </c>
    </row>
    <row r="42" spans="3:9" ht="15">
      <c r="C42" s="132">
        <v>0.95599999999999996</v>
      </c>
      <c r="E42" s="128">
        <v>1.0269999999999999</v>
      </c>
      <c r="G42" s="131">
        <v>1.895</v>
      </c>
      <c r="I42" s="168">
        <v>2.8079999999999998</v>
      </c>
    </row>
    <row r="43" spans="3:9" ht="15">
      <c r="C43" s="132">
        <v>0.86399999999999999</v>
      </c>
      <c r="E43" s="128">
        <v>1.0269999999999999</v>
      </c>
      <c r="G43" s="131">
        <v>1.895</v>
      </c>
      <c r="I43" s="171">
        <v>2.56</v>
      </c>
    </row>
    <row r="44" spans="3:9" ht="15">
      <c r="C44" s="132">
        <v>0.86399999999999999</v>
      </c>
      <c r="E44" s="128">
        <v>1.0269999999999999</v>
      </c>
      <c r="G44" s="131">
        <v>1.895</v>
      </c>
      <c r="I44" s="168">
        <v>2.4430000000000001</v>
      </c>
    </row>
    <row r="45" spans="3:9" ht="15">
      <c r="C45" s="132">
        <v>0.65900000000000003</v>
      </c>
      <c r="E45" s="128">
        <v>1.0269999999999999</v>
      </c>
      <c r="G45" s="131">
        <v>1.867</v>
      </c>
      <c r="I45" s="168">
        <v>2.4369999999999998</v>
      </c>
    </row>
    <row r="46" spans="3:9" ht="15">
      <c r="C46" s="132">
        <v>0.60699999999999998</v>
      </c>
      <c r="E46" s="128">
        <v>1.0269999999999999</v>
      </c>
      <c r="G46" s="131">
        <v>1.867</v>
      </c>
      <c r="I46" s="168">
        <v>2.359</v>
      </c>
    </row>
    <row r="47" spans="3:9" ht="15">
      <c r="C47" s="132">
        <v>0.60199999999999998</v>
      </c>
      <c r="E47" s="128">
        <v>1.026</v>
      </c>
      <c r="G47" s="131">
        <v>1.867</v>
      </c>
      <c r="I47" s="168">
        <v>2.3559999999999999</v>
      </c>
    </row>
    <row r="48" spans="3:9" ht="15">
      <c r="C48" s="132">
        <v>0.56499999999999995</v>
      </c>
      <c r="E48" s="133">
        <v>0.98199999999999998</v>
      </c>
      <c r="G48" s="131">
        <v>1.8460000000000001</v>
      </c>
      <c r="I48" s="168">
        <v>2.2429999999999999</v>
      </c>
    </row>
    <row r="49" spans="3:9" ht="15">
      <c r="C49" s="132">
        <v>0.55500000000000005</v>
      </c>
      <c r="E49" s="133">
        <v>0.95</v>
      </c>
      <c r="G49" s="131">
        <v>1.839</v>
      </c>
      <c r="I49" s="172">
        <v>2.234</v>
      </c>
    </row>
    <row r="50" spans="3:9" ht="15">
      <c r="C50" s="132">
        <v>0.49199999999999999</v>
      </c>
      <c r="E50" s="133">
        <v>0.95</v>
      </c>
      <c r="G50" s="131">
        <v>1.839</v>
      </c>
      <c r="I50" s="168">
        <v>2.1459999999999999</v>
      </c>
    </row>
    <row r="51" spans="3:9" ht="15">
      <c r="C51" s="132">
        <v>0.49</v>
      </c>
      <c r="E51" s="133">
        <v>0.95</v>
      </c>
      <c r="G51" s="131">
        <v>1.839</v>
      </c>
      <c r="I51" s="168">
        <v>2.1379999999999999</v>
      </c>
    </row>
    <row r="52" spans="3:9" ht="15">
      <c r="C52" s="132">
        <v>0.46</v>
      </c>
      <c r="E52" s="133">
        <v>0.94799999999999995</v>
      </c>
      <c r="G52" s="131">
        <v>1.8120000000000001</v>
      </c>
      <c r="I52" s="168">
        <v>2.1379999999999999</v>
      </c>
    </row>
    <row r="53" spans="3:9" ht="15">
      <c r="C53" s="132">
        <v>0.438</v>
      </c>
      <c r="E53" s="133">
        <v>0.94799999999999995</v>
      </c>
      <c r="G53" s="131">
        <v>1.806</v>
      </c>
      <c r="I53" s="168">
        <v>2.1379999999999999</v>
      </c>
    </row>
    <row r="54" spans="3:9" ht="15">
      <c r="C54" s="132">
        <v>0.40600000000000003</v>
      </c>
      <c r="E54" s="133">
        <v>0.91</v>
      </c>
      <c r="G54" s="131">
        <v>1.806</v>
      </c>
      <c r="I54" s="168">
        <v>2.1339999999999999</v>
      </c>
    </row>
    <row r="55" spans="3:9" ht="15">
      <c r="C55" s="132">
        <v>0.40600000000000003</v>
      </c>
      <c r="E55" s="133">
        <v>0.91</v>
      </c>
      <c r="G55" s="131">
        <v>1.7989999999999999</v>
      </c>
      <c r="I55" s="171">
        <v>2.12</v>
      </c>
    </row>
    <row r="56" spans="3:9" ht="15">
      <c r="C56" s="132">
        <v>0.39900000000000002</v>
      </c>
      <c r="E56" s="133">
        <v>0.91</v>
      </c>
      <c r="G56" s="131">
        <v>1.7989999999999999</v>
      </c>
      <c r="I56" s="168">
        <v>2.0790000000000002</v>
      </c>
    </row>
    <row r="57" spans="3:9" ht="15">
      <c r="C57" s="132">
        <v>0.34499999999999997</v>
      </c>
      <c r="E57" s="133">
        <v>0.80600000000000005</v>
      </c>
      <c r="G57" s="131">
        <v>1.7989999999999999</v>
      </c>
      <c r="I57" s="172">
        <v>2.056</v>
      </c>
    </row>
    <row r="58" spans="3:9" ht="15">
      <c r="C58" s="132">
        <v>0.34499999999999997</v>
      </c>
      <c r="E58" s="133">
        <v>0.77400000000000002</v>
      </c>
      <c r="G58" s="131">
        <v>1.7989999999999999</v>
      </c>
      <c r="I58" s="168">
        <v>2.036</v>
      </c>
    </row>
    <row r="59" spans="3:9" ht="15">
      <c r="C59" s="132">
        <v>0.32</v>
      </c>
      <c r="E59" s="133">
        <v>0.74099999999999999</v>
      </c>
      <c r="G59" s="131">
        <v>1.7310000000000001</v>
      </c>
      <c r="I59" s="168">
        <v>2.036</v>
      </c>
    </row>
    <row r="60" spans="3:9" ht="15">
      <c r="C60" s="132">
        <v>0.31900000000000001</v>
      </c>
      <c r="E60" s="133">
        <v>0.65900000000000003</v>
      </c>
      <c r="G60" s="131">
        <v>1.714</v>
      </c>
      <c r="I60" s="168">
        <v>2.0169999999999999</v>
      </c>
    </row>
    <row r="61" spans="3:9" ht="15">
      <c r="C61" s="132">
        <v>0.31900000000000001</v>
      </c>
      <c r="E61" s="133">
        <v>0.60699999999999998</v>
      </c>
      <c r="G61" s="131">
        <v>1.6779999999999999</v>
      </c>
      <c r="I61" s="164">
        <v>1.9079999999999999</v>
      </c>
    </row>
    <row r="62" spans="3:9" ht="15">
      <c r="C62" s="132">
        <v>0.315</v>
      </c>
      <c r="E62" s="133">
        <v>0.57699999999999996</v>
      </c>
      <c r="G62" s="131">
        <v>1.67</v>
      </c>
      <c r="I62" s="164">
        <v>1.899</v>
      </c>
    </row>
    <row r="63" spans="3:9" ht="15">
      <c r="C63" s="132">
        <v>0.27800000000000002</v>
      </c>
      <c r="E63" s="133">
        <v>0.39900000000000002</v>
      </c>
      <c r="G63" s="131">
        <v>1.607</v>
      </c>
      <c r="I63" s="165">
        <v>1.887</v>
      </c>
    </row>
    <row r="64" spans="3:9" ht="15">
      <c r="C64" s="132">
        <v>0.154</v>
      </c>
      <c r="E64" s="133">
        <v>0.255</v>
      </c>
      <c r="G64" s="131">
        <v>1.5940000000000001</v>
      </c>
      <c r="I64" s="164">
        <v>1.871</v>
      </c>
    </row>
    <row r="65" spans="3:9" ht="15">
      <c r="C65" s="132">
        <v>0.14099999999999999</v>
      </c>
      <c r="E65" s="133">
        <v>0.255</v>
      </c>
      <c r="G65" s="131">
        <v>1.552</v>
      </c>
      <c r="I65" s="164">
        <v>1.871</v>
      </c>
    </row>
    <row r="66" spans="3:9" ht="15">
      <c r="C66" s="132">
        <v>0.14099999999999999</v>
      </c>
      <c r="E66" s="133">
        <v>0.20300000000000001</v>
      </c>
      <c r="G66" s="131">
        <v>1.54</v>
      </c>
      <c r="I66" s="164">
        <v>1.871</v>
      </c>
    </row>
    <row r="67" spans="3:9" ht="15">
      <c r="C67" s="132">
        <v>0.14099999999999999</v>
      </c>
      <c r="E67" s="133">
        <v>0.20300000000000001</v>
      </c>
      <c r="G67" s="131">
        <v>1.51</v>
      </c>
      <c r="I67" s="166">
        <v>1.859</v>
      </c>
    </row>
    <row r="68" spans="3:9" ht="15">
      <c r="C68" s="132">
        <v>0.14099999999999999</v>
      </c>
      <c r="E68" s="133">
        <v>0.20300000000000001</v>
      </c>
      <c r="G68" s="131">
        <v>1.51</v>
      </c>
      <c r="I68" s="164">
        <v>1.859</v>
      </c>
    </row>
    <row r="69" spans="3:9" ht="15">
      <c r="C69" s="132">
        <v>0.14099999999999999</v>
      </c>
      <c r="E69" s="133">
        <v>0.20300000000000001</v>
      </c>
      <c r="G69" s="131">
        <v>1.51</v>
      </c>
      <c r="I69" s="164">
        <v>1.8280000000000001</v>
      </c>
    </row>
    <row r="70" spans="3:9" ht="15">
      <c r="C70" s="132">
        <v>0.14099999999999999</v>
      </c>
      <c r="E70" s="133">
        <v>0.20300000000000001</v>
      </c>
      <c r="G70" s="131">
        <v>1.51</v>
      </c>
      <c r="I70" s="166">
        <v>1.7649999999999999</v>
      </c>
    </row>
    <row r="71" spans="3:9" ht="15">
      <c r="C71" s="132">
        <v>0.14099999999999999</v>
      </c>
      <c r="E71" s="133">
        <v>0.20300000000000001</v>
      </c>
      <c r="G71" s="131">
        <v>1.51</v>
      </c>
      <c r="I71" s="164">
        <v>1.75</v>
      </c>
    </row>
    <row r="72" spans="3:9" ht="15">
      <c r="C72" s="132">
        <v>0.14099999999999999</v>
      </c>
      <c r="E72" s="133">
        <v>0.20300000000000001</v>
      </c>
      <c r="G72" s="131">
        <v>1.51</v>
      </c>
      <c r="I72" s="164">
        <v>1.679</v>
      </c>
    </row>
    <row r="73" spans="3:9" ht="15">
      <c r="C73" s="132">
        <v>0.14099999999999999</v>
      </c>
      <c r="E73" s="133">
        <v>0.20200000000000001</v>
      </c>
      <c r="G73" s="131">
        <v>1.456</v>
      </c>
      <c r="I73" s="164">
        <v>1.675</v>
      </c>
    </row>
    <row r="74" spans="3:9" ht="15">
      <c r="C74" s="132">
        <v>0.13900000000000001</v>
      </c>
      <c r="E74" s="133">
        <v>0.20100000000000001</v>
      </c>
      <c r="G74" s="131">
        <v>1.42</v>
      </c>
      <c r="I74" s="164">
        <v>1.649</v>
      </c>
    </row>
    <row r="75" spans="3:9" ht="15">
      <c r="C75" s="132">
        <v>0.125</v>
      </c>
      <c r="E75" s="133">
        <v>0.10199999999999999</v>
      </c>
      <c r="G75" s="131">
        <v>1.3879999999999999</v>
      </c>
      <c r="I75" s="164">
        <v>1.599</v>
      </c>
    </row>
    <row r="76" spans="3:9" ht="15">
      <c r="E76" s="133">
        <v>3.3000000000000002E-2</v>
      </c>
      <c r="G76" s="131">
        <v>1.35</v>
      </c>
      <c r="I76" s="164">
        <v>1.599</v>
      </c>
    </row>
    <row r="77" spans="3:9" ht="15">
      <c r="E77" s="135"/>
      <c r="G77" s="131">
        <v>1.2250000000000001</v>
      </c>
      <c r="I77" s="164">
        <v>1.599</v>
      </c>
    </row>
    <row r="78" spans="3:9" ht="15">
      <c r="D78" s="115"/>
      <c r="E78" s="135"/>
      <c r="F78" s="115"/>
      <c r="G78" s="131">
        <v>1.2210000000000001</v>
      </c>
      <c r="I78" s="164">
        <v>1.5249999999999999</v>
      </c>
    </row>
    <row r="79" spans="3:9" ht="15">
      <c r="D79" s="115"/>
      <c r="E79" s="135"/>
      <c r="F79" s="115"/>
      <c r="G79" s="131">
        <v>1.2210000000000001</v>
      </c>
      <c r="I79" s="164">
        <v>1.5249999999999999</v>
      </c>
    </row>
    <row r="80" spans="3:9" ht="15">
      <c r="D80" s="115"/>
      <c r="E80" s="135"/>
      <c r="F80" s="115"/>
      <c r="G80" s="131">
        <v>1.2210000000000001</v>
      </c>
      <c r="I80" s="166">
        <v>1.496</v>
      </c>
    </row>
    <row r="81" spans="4:9" ht="15">
      <c r="D81" s="115"/>
      <c r="E81" s="135"/>
      <c r="F81" s="115"/>
      <c r="G81" s="131">
        <v>1.181</v>
      </c>
      <c r="I81" s="164">
        <v>1.492</v>
      </c>
    </row>
    <row r="82" spans="4:9" ht="15">
      <c r="D82" s="115"/>
      <c r="E82" s="135"/>
      <c r="F82" s="115"/>
      <c r="G82" s="131">
        <v>1.181</v>
      </c>
      <c r="I82" s="167">
        <v>1.41</v>
      </c>
    </row>
    <row r="83" spans="4:9" ht="14.25">
      <c r="D83" s="115"/>
      <c r="F83" s="115"/>
      <c r="G83" s="131">
        <v>1.167</v>
      </c>
      <c r="I83" s="164">
        <v>1.3660000000000001</v>
      </c>
    </row>
    <row r="84" spans="4:9" ht="14.25">
      <c r="D84" s="115"/>
      <c r="F84" s="115"/>
      <c r="G84" s="131">
        <v>1.167</v>
      </c>
      <c r="I84" s="164">
        <v>1.302</v>
      </c>
    </row>
    <row r="85" spans="4:9" ht="14.25">
      <c r="D85" s="115"/>
      <c r="F85" s="115"/>
      <c r="G85" s="131">
        <v>1.167</v>
      </c>
      <c r="I85" s="164">
        <v>1.296</v>
      </c>
    </row>
    <row r="86" spans="4:9" ht="14.25">
      <c r="D86" s="115"/>
      <c r="F86" s="115"/>
      <c r="G86" s="131">
        <v>1.167</v>
      </c>
      <c r="I86" s="166">
        <v>1.107</v>
      </c>
    </row>
    <row r="87" spans="4:9" ht="14.25">
      <c r="D87" s="115"/>
      <c r="F87" s="115"/>
      <c r="G87" s="131">
        <v>1.167</v>
      </c>
      <c r="I87" s="166">
        <v>1.077</v>
      </c>
    </row>
    <row r="88" spans="4:9" ht="14.25">
      <c r="D88" s="115"/>
      <c r="F88" s="115"/>
      <c r="G88" s="131">
        <v>1.167</v>
      </c>
      <c r="I88" s="166">
        <v>1.032</v>
      </c>
    </row>
    <row r="89" spans="4:9" ht="14.25">
      <c r="D89" s="115"/>
      <c r="F89" s="115"/>
      <c r="G89" s="131">
        <v>1.167</v>
      </c>
      <c r="I89" s="164">
        <v>1.014</v>
      </c>
    </row>
    <row r="90" spans="4:9" ht="14.25">
      <c r="D90" s="115"/>
      <c r="F90" s="115"/>
      <c r="G90" s="131">
        <v>1.167</v>
      </c>
      <c r="I90" s="164">
        <v>1.014</v>
      </c>
    </row>
    <row r="91" spans="4:9" ht="14.25">
      <c r="D91" s="115"/>
      <c r="F91" s="115"/>
      <c r="G91" s="131">
        <v>1.167</v>
      </c>
      <c r="I91" s="159">
        <v>0.998</v>
      </c>
    </row>
    <row r="92" spans="4:9" ht="14.25">
      <c r="D92" s="115"/>
      <c r="F92" s="115"/>
      <c r="G92" s="131">
        <v>1.143</v>
      </c>
      <c r="I92" s="160">
        <v>0.97</v>
      </c>
    </row>
    <row r="93" spans="4:9" ht="14.25">
      <c r="D93" s="115"/>
      <c r="F93" s="115"/>
      <c r="G93" s="131">
        <v>1.1259999999999999</v>
      </c>
      <c r="I93" s="161">
        <v>0.875</v>
      </c>
    </row>
    <row r="94" spans="4:9" ht="14.25">
      <c r="D94" s="115"/>
      <c r="F94" s="115"/>
      <c r="G94" s="131">
        <v>1.1140000000000001</v>
      </c>
      <c r="I94" s="162">
        <v>0.86</v>
      </c>
    </row>
    <row r="95" spans="4:9" ht="14.25">
      <c r="D95" s="115"/>
      <c r="F95" s="115"/>
      <c r="G95" s="136">
        <v>1.103</v>
      </c>
      <c r="I95" s="159">
        <v>0.84299999999999997</v>
      </c>
    </row>
    <row r="96" spans="4:9" ht="14.25">
      <c r="D96" s="115"/>
      <c r="F96" s="115"/>
      <c r="G96" s="137">
        <v>1.026</v>
      </c>
      <c r="I96" s="159">
        <v>0.752</v>
      </c>
    </row>
    <row r="97" spans="4:9" ht="14.25">
      <c r="D97" s="115"/>
      <c r="F97" s="115"/>
      <c r="G97" s="137">
        <v>1.022</v>
      </c>
      <c r="I97" s="159">
        <v>0.68700000000000006</v>
      </c>
    </row>
    <row r="98" spans="4:9" ht="14.25">
      <c r="D98" s="115"/>
      <c r="F98" s="115"/>
      <c r="G98" s="137">
        <v>0.91300000000000003</v>
      </c>
      <c r="I98" s="159">
        <v>0.68700000000000006</v>
      </c>
    </row>
    <row r="99" spans="4:9" ht="14.25">
      <c r="D99" s="115"/>
      <c r="F99" s="115"/>
      <c r="G99" s="137">
        <v>0.91300000000000003</v>
      </c>
      <c r="I99" s="159">
        <v>0.68700000000000006</v>
      </c>
    </row>
    <row r="100" spans="4:9" ht="14.25">
      <c r="D100" s="115"/>
      <c r="F100" s="115"/>
      <c r="G100" s="137">
        <v>0.91300000000000003</v>
      </c>
      <c r="I100" s="162">
        <v>0.68</v>
      </c>
    </row>
    <row r="101" spans="4:9" ht="14.25">
      <c r="D101" s="115"/>
      <c r="F101" s="115"/>
      <c r="G101" s="137">
        <v>0.84899999999999998</v>
      </c>
      <c r="I101" s="159">
        <v>0.63100000000000001</v>
      </c>
    </row>
    <row r="102" spans="4:9" ht="14.25">
      <c r="D102" s="115"/>
      <c r="F102" s="115"/>
      <c r="G102" s="137">
        <v>0.68</v>
      </c>
      <c r="I102" s="163">
        <v>0.628</v>
      </c>
    </row>
    <row r="103" spans="4:9" ht="14.25">
      <c r="D103" s="115"/>
      <c r="F103" s="115"/>
      <c r="G103" s="137">
        <v>0.67</v>
      </c>
      <c r="I103" s="162">
        <v>0.54</v>
      </c>
    </row>
    <row r="104" spans="4:9" ht="14.25">
      <c r="D104" s="115"/>
      <c r="F104" s="115"/>
      <c r="G104" s="138">
        <v>0.67</v>
      </c>
      <c r="I104" s="162">
        <v>0.54</v>
      </c>
    </row>
    <row r="105" spans="4:9" ht="14.25">
      <c r="D105" s="115"/>
      <c r="F105" s="115"/>
      <c r="G105" s="137">
        <v>0.67</v>
      </c>
      <c r="I105" s="162">
        <v>0.54</v>
      </c>
    </row>
    <row r="106" spans="4:9" ht="14.25">
      <c r="D106" s="115"/>
      <c r="F106" s="115"/>
      <c r="G106" s="137">
        <v>0.67</v>
      </c>
      <c r="I106" s="162">
        <v>0.54</v>
      </c>
    </row>
    <row r="107" spans="4:9" ht="14.25">
      <c r="D107" s="115"/>
      <c r="F107" s="115"/>
      <c r="G107" s="137">
        <v>0.56699999999999995</v>
      </c>
      <c r="I107" s="162">
        <v>0.54</v>
      </c>
    </row>
    <row r="108" spans="4:9" ht="14.25">
      <c r="D108" s="115"/>
      <c r="F108" s="115"/>
      <c r="G108" s="137">
        <v>0.56200000000000006</v>
      </c>
      <c r="I108" s="162">
        <v>0.54</v>
      </c>
    </row>
    <row r="109" spans="4:9" ht="14.25">
      <c r="D109" s="115"/>
      <c r="F109" s="115"/>
      <c r="G109" s="137">
        <v>0.54</v>
      </c>
      <c r="I109" s="162">
        <v>0.54</v>
      </c>
    </row>
    <row r="110" spans="4:9" ht="14.25">
      <c r="D110" s="115"/>
      <c r="F110" s="115"/>
      <c r="G110" s="137">
        <v>0.495</v>
      </c>
      <c r="I110" s="162">
        <v>0.54</v>
      </c>
    </row>
    <row r="111" spans="4:9" ht="14.25">
      <c r="D111" s="115"/>
      <c r="F111" s="115"/>
      <c r="G111" s="137">
        <v>0.41499999999999998</v>
      </c>
      <c r="I111" s="159">
        <v>0.49199999999999999</v>
      </c>
    </row>
    <row r="112" spans="4:9" ht="14.25">
      <c r="D112" s="115"/>
      <c r="F112" s="115"/>
      <c r="G112" s="137">
        <v>0.39</v>
      </c>
      <c r="I112" s="161">
        <v>0.49199999999999999</v>
      </c>
    </row>
    <row r="113" spans="3:10" ht="14.25">
      <c r="D113" s="115"/>
      <c r="F113" s="115"/>
      <c r="G113" s="137">
        <v>0.36699999999999999</v>
      </c>
      <c r="I113" s="159">
        <v>0.29199999999999998</v>
      </c>
    </row>
    <row r="114" spans="3:10" ht="14.25">
      <c r="D114" s="115"/>
      <c r="F114" s="115"/>
      <c r="G114" s="137">
        <v>0.32100000000000001</v>
      </c>
      <c r="I114" s="159">
        <v>0.29199999999999998</v>
      </c>
    </row>
    <row r="115" spans="3:10" ht="14.25">
      <c r="D115" s="115"/>
      <c r="F115" s="115"/>
      <c r="G115" s="137">
        <v>0.26200000000000001</v>
      </c>
      <c r="I115" s="159">
        <v>0.26400000000000001</v>
      </c>
    </row>
    <row r="116" spans="3:10" ht="14.25">
      <c r="D116" s="115"/>
      <c r="F116" s="115"/>
      <c r="G116" s="137">
        <v>0.26200000000000001</v>
      </c>
      <c r="I116" s="159">
        <v>0.26400000000000001</v>
      </c>
    </row>
    <row r="117" spans="3:10" ht="14.25">
      <c r="D117" s="115"/>
      <c r="F117" s="115"/>
      <c r="G117" s="137">
        <v>0.24199999999999999</v>
      </c>
      <c r="I117" s="159">
        <v>0.20399999999999999</v>
      </c>
    </row>
    <row r="118" spans="3:10" ht="14.25">
      <c r="D118" s="115"/>
      <c r="F118" s="115"/>
      <c r="G118" s="137">
        <v>0.222</v>
      </c>
      <c r="I118" s="161">
        <v>0.16700000000000001</v>
      </c>
    </row>
    <row r="119" spans="3:10" ht="14.25">
      <c r="D119" s="115"/>
      <c r="F119" s="115"/>
      <c r="G119" s="139">
        <v>0</v>
      </c>
      <c r="I119" s="161">
        <v>5.5E-2</v>
      </c>
    </row>
    <row r="120" spans="3:10" s="2" customFormat="1" ht="30">
      <c r="C120" s="140"/>
      <c r="D120" s="114"/>
      <c r="E120" s="114"/>
      <c r="F120" s="114"/>
      <c r="G120" s="141">
        <v>2010</v>
      </c>
      <c r="H120" s="142"/>
      <c r="I120" s="142"/>
      <c r="J120" s="142"/>
    </row>
    <row r="121" spans="3:10">
      <c r="D121" s="115"/>
      <c r="F121" s="115"/>
      <c r="G121" s="143">
        <v>0</v>
      </c>
      <c r="H121" s="144"/>
      <c r="I121" s="144"/>
      <c r="J121" s="144"/>
    </row>
    <row r="122" spans="3:10">
      <c r="D122" s="115"/>
      <c r="F122" s="115"/>
      <c r="G122" s="145">
        <v>0</v>
      </c>
      <c r="H122" s="146"/>
      <c r="I122" s="146"/>
      <c r="J122" s="146"/>
    </row>
    <row r="123" spans="3:10">
      <c r="D123" s="115"/>
      <c r="F123" s="115"/>
      <c r="G123" s="145">
        <v>0</v>
      </c>
      <c r="H123" s="146"/>
      <c r="I123" s="146"/>
      <c r="J123" s="146"/>
    </row>
    <row r="124" spans="3:10">
      <c r="D124" s="115"/>
      <c r="F124" s="115"/>
      <c r="G124" s="145">
        <v>0</v>
      </c>
      <c r="H124" s="146"/>
      <c r="I124" s="146"/>
      <c r="J124" s="146"/>
    </row>
    <row r="125" spans="3:10">
      <c r="D125" s="115"/>
      <c r="F125" s="115"/>
      <c r="G125" s="145">
        <v>0</v>
      </c>
      <c r="H125" s="146"/>
      <c r="I125" s="146"/>
      <c r="J125" s="146"/>
    </row>
    <row r="126" spans="3:10">
      <c r="D126" s="115"/>
      <c r="F126" s="115"/>
      <c r="G126" s="145">
        <v>0</v>
      </c>
      <c r="H126" s="146"/>
      <c r="I126" s="146"/>
      <c r="J126" s="146"/>
    </row>
    <row r="127" spans="3:10">
      <c r="D127" s="115"/>
      <c r="F127" s="115"/>
      <c r="G127" s="143">
        <v>0.22</v>
      </c>
      <c r="H127" s="144"/>
      <c r="I127" s="144"/>
      <c r="J127" s="144"/>
    </row>
    <row r="128" spans="3:10">
      <c r="D128" s="115"/>
      <c r="F128" s="115"/>
      <c r="G128" s="143">
        <v>0.32100000000000001</v>
      </c>
      <c r="H128" s="144"/>
      <c r="I128" s="144"/>
      <c r="J128" s="144"/>
    </row>
    <row r="129" spans="4:10">
      <c r="D129" s="115"/>
      <c r="F129" s="115"/>
      <c r="G129" s="143">
        <v>0.32100000000000001</v>
      </c>
      <c r="H129" s="144"/>
      <c r="I129" s="144"/>
      <c r="J129" s="144"/>
    </row>
    <row r="130" spans="4:10">
      <c r="D130" s="115"/>
      <c r="F130" s="115"/>
      <c r="G130" s="143">
        <v>0.32100000000000001</v>
      </c>
      <c r="H130" s="144"/>
      <c r="I130" s="144"/>
      <c r="J130" s="144"/>
    </row>
    <row r="131" spans="4:10">
      <c r="D131" s="115"/>
      <c r="F131" s="115"/>
      <c r="G131" s="145">
        <v>0.35099999999999998</v>
      </c>
      <c r="H131" s="146"/>
      <c r="I131" s="146"/>
      <c r="J131" s="146"/>
    </row>
    <row r="132" spans="4:10">
      <c r="D132" s="115"/>
      <c r="F132" s="115"/>
      <c r="G132" s="145">
        <v>0.39</v>
      </c>
      <c r="H132" s="146"/>
      <c r="I132" s="146"/>
      <c r="J132" s="146"/>
    </row>
    <row r="133" spans="4:10">
      <c r="D133" s="115"/>
      <c r="F133" s="115"/>
      <c r="G133" s="143">
        <v>0.433</v>
      </c>
      <c r="H133" s="144"/>
      <c r="I133" s="144"/>
      <c r="J133" s="144"/>
    </row>
    <row r="134" spans="4:10">
      <c r="D134" s="115"/>
      <c r="F134" s="115"/>
      <c r="G134" s="145">
        <v>0.51</v>
      </c>
      <c r="H134" s="146"/>
      <c r="I134" s="146"/>
      <c r="J134" s="146"/>
    </row>
    <row r="135" spans="4:10">
      <c r="D135" s="115"/>
      <c r="F135" s="115"/>
      <c r="G135" s="145">
        <v>0.55000000000000004</v>
      </c>
      <c r="H135" s="146"/>
      <c r="I135" s="146"/>
      <c r="J135" s="146"/>
    </row>
    <row r="136" spans="4:10">
      <c r="D136" s="115"/>
      <c r="F136" s="115"/>
      <c r="G136" s="145">
        <v>0.61399999999999999</v>
      </c>
      <c r="H136" s="146"/>
      <c r="I136" s="146"/>
      <c r="J136" s="146"/>
    </row>
    <row r="137" spans="4:10">
      <c r="D137" s="115"/>
      <c r="F137" s="115"/>
      <c r="G137" s="145">
        <v>0.622</v>
      </c>
      <c r="H137" s="146"/>
      <c r="I137" s="146"/>
      <c r="J137" s="146"/>
    </row>
    <row r="138" spans="4:10">
      <c r="D138" s="115"/>
      <c r="F138" s="115"/>
      <c r="G138" s="145">
        <v>0.72299999999999998</v>
      </c>
      <c r="H138" s="146"/>
      <c r="I138" s="146"/>
      <c r="J138" s="146"/>
    </row>
    <row r="139" spans="4:10">
      <c r="D139" s="115"/>
      <c r="F139" s="115"/>
      <c r="G139" s="143">
        <v>0.79500000000000004</v>
      </c>
      <c r="H139" s="144"/>
      <c r="I139" s="144"/>
      <c r="J139" s="144"/>
    </row>
    <row r="140" spans="4:10">
      <c r="D140" s="115"/>
      <c r="F140" s="115"/>
      <c r="G140" s="143">
        <v>0.876</v>
      </c>
      <c r="H140" s="144"/>
      <c r="I140" s="144"/>
      <c r="J140" s="144"/>
    </row>
    <row r="141" spans="4:10">
      <c r="D141" s="115"/>
      <c r="F141" s="115"/>
      <c r="G141" s="143">
        <v>0.876</v>
      </c>
      <c r="H141" s="144"/>
      <c r="I141" s="144"/>
      <c r="J141" s="144"/>
    </row>
    <row r="142" spans="4:10">
      <c r="D142" s="115"/>
      <c r="F142" s="115"/>
      <c r="G142" s="143">
        <v>0.876</v>
      </c>
      <c r="H142" s="144"/>
      <c r="I142" s="144"/>
      <c r="J142" s="144"/>
    </row>
    <row r="143" spans="4:10">
      <c r="D143" s="115"/>
      <c r="F143" s="115"/>
      <c r="G143" s="143">
        <v>0.876</v>
      </c>
      <c r="H143" s="144"/>
      <c r="I143" s="144"/>
      <c r="J143" s="144"/>
    </row>
    <row r="144" spans="4:10">
      <c r="D144" s="115"/>
      <c r="F144" s="115"/>
      <c r="G144" s="143">
        <v>0.876</v>
      </c>
      <c r="H144" s="144"/>
      <c r="I144" s="144"/>
      <c r="J144" s="144"/>
    </row>
    <row r="145" spans="4:10">
      <c r="D145" s="115"/>
      <c r="F145" s="115"/>
      <c r="G145" s="143">
        <v>0.876</v>
      </c>
      <c r="H145" s="144"/>
      <c r="I145" s="144"/>
      <c r="J145" s="144"/>
    </row>
    <row r="146" spans="4:10">
      <c r="D146" s="115"/>
      <c r="F146" s="115"/>
      <c r="G146" s="143">
        <v>0.876</v>
      </c>
      <c r="H146" s="144"/>
      <c r="I146" s="144"/>
      <c r="J146" s="144"/>
    </row>
    <row r="147" spans="4:10">
      <c r="D147" s="115"/>
      <c r="F147" s="115"/>
      <c r="G147" s="145">
        <v>0.97499999999999998</v>
      </c>
      <c r="H147" s="146"/>
      <c r="I147" s="146"/>
      <c r="J147" s="146"/>
    </row>
    <row r="148" spans="4:10">
      <c r="D148" s="115"/>
      <c r="F148" s="115"/>
      <c r="G148" s="147">
        <v>1.012</v>
      </c>
      <c r="H148" s="146"/>
      <c r="I148" s="146"/>
      <c r="J148" s="146"/>
    </row>
    <row r="149" spans="4:10">
      <c r="D149" s="115"/>
      <c r="F149" s="115"/>
      <c r="G149" s="148">
        <v>1.0229999999999999</v>
      </c>
      <c r="H149" s="144"/>
      <c r="I149" s="144"/>
      <c r="J149" s="144"/>
    </row>
    <row r="150" spans="4:10">
      <c r="D150" s="115"/>
      <c r="F150" s="115"/>
      <c r="G150" s="147">
        <v>1.056</v>
      </c>
      <c r="H150" s="146"/>
      <c r="I150" s="146"/>
      <c r="J150" s="146"/>
    </row>
    <row r="151" spans="4:10">
      <c r="D151" s="115"/>
      <c r="F151" s="115"/>
      <c r="G151" s="148">
        <v>1.085</v>
      </c>
      <c r="H151" s="144"/>
      <c r="I151" s="144"/>
      <c r="J151" s="144"/>
    </row>
    <row r="152" spans="4:10">
      <c r="D152" s="115"/>
      <c r="F152" s="115"/>
      <c r="G152" s="147">
        <v>1.17</v>
      </c>
      <c r="H152" s="146"/>
      <c r="I152" s="146"/>
      <c r="J152" s="146"/>
    </row>
    <row r="153" spans="4:10">
      <c r="D153" s="115"/>
      <c r="F153" s="115"/>
      <c r="G153" s="147">
        <v>1.2030000000000001</v>
      </c>
      <c r="H153" s="146"/>
      <c r="I153" s="146"/>
      <c r="J153" s="146"/>
    </row>
    <row r="154" spans="4:10">
      <c r="D154" s="115"/>
      <c r="F154" s="115"/>
      <c r="G154" s="147">
        <v>1.216</v>
      </c>
      <c r="H154" s="146"/>
      <c r="I154" s="146"/>
      <c r="J154" s="146"/>
    </row>
    <row r="155" spans="4:10">
      <c r="D155" s="115"/>
      <c r="F155" s="115"/>
      <c r="G155" s="147">
        <v>1.216</v>
      </c>
      <c r="H155" s="146"/>
      <c r="I155" s="146"/>
      <c r="J155" s="146"/>
    </row>
    <row r="156" spans="4:10">
      <c r="D156" s="115"/>
      <c r="F156" s="115"/>
      <c r="G156" s="147">
        <v>1.216</v>
      </c>
      <c r="H156" s="146"/>
      <c r="I156" s="146"/>
      <c r="J156" s="146"/>
    </row>
    <row r="157" spans="4:10">
      <c r="D157" s="115"/>
      <c r="F157" s="115"/>
      <c r="G157" s="147">
        <v>1.252</v>
      </c>
      <c r="H157" s="146"/>
      <c r="I157" s="146"/>
      <c r="J157" s="146"/>
    </row>
    <row r="158" spans="4:10">
      <c r="D158" s="115"/>
      <c r="F158" s="115"/>
      <c r="G158" s="147">
        <v>1.252</v>
      </c>
      <c r="H158" s="146"/>
      <c r="I158" s="146"/>
      <c r="J158" s="146"/>
    </row>
    <row r="159" spans="4:10">
      <c r="D159" s="115"/>
      <c r="F159" s="115"/>
      <c r="G159" s="148">
        <v>1.2729999999999999</v>
      </c>
      <c r="H159" s="144"/>
      <c r="I159" s="144"/>
      <c r="J159" s="144"/>
    </row>
    <row r="160" spans="4:10">
      <c r="D160" s="115"/>
      <c r="F160" s="115"/>
      <c r="G160" s="148">
        <v>1.323</v>
      </c>
      <c r="H160" s="144"/>
      <c r="I160" s="144"/>
      <c r="J160" s="144"/>
    </row>
    <row r="161" spans="4:10">
      <c r="D161" s="115"/>
      <c r="F161" s="115"/>
      <c r="G161" s="147">
        <v>1.33</v>
      </c>
      <c r="H161" s="146"/>
      <c r="I161" s="146"/>
      <c r="J161" s="146"/>
    </row>
    <row r="162" spans="4:10">
      <c r="D162" s="115"/>
      <c r="F162" s="115"/>
      <c r="G162" s="148">
        <v>1.393</v>
      </c>
      <c r="H162" s="144"/>
      <c r="I162" s="144"/>
      <c r="J162" s="144"/>
    </row>
    <row r="163" spans="4:10">
      <c r="D163" s="115"/>
      <c r="F163" s="115"/>
      <c r="G163" s="148">
        <v>1.393</v>
      </c>
      <c r="H163" s="144"/>
      <c r="I163" s="144"/>
      <c r="J163" s="144"/>
    </row>
    <row r="164" spans="4:10">
      <c r="D164" s="115"/>
      <c r="F164" s="115"/>
      <c r="G164" s="148">
        <v>1.4159999999999999</v>
      </c>
      <c r="H164" s="144"/>
      <c r="I164" s="144"/>
      <c r="J164" s="144"/>
    </row>
    <row r="165" spans="4:10">
      <c r="D165" s="115"/>
      <c r="F165" s="115"/>
      <c r="G165" s="148">
        <v>1.456</v>
      </c>
      <c r="H165" s="144"/>
      <c r="I165" s="144"/>
      <c r="J165" s="144"/>
    </row>
    <row r="166" spans="4:10">
      <c r="D166" s="115"/>
      <c r="F166" s="115"/>
      <c r="G166" s="147">
        <v>1.456</v>
      </c>
      <c r="H166" s="146"/>
      <c r="I166" s="146"/>
      <c r="J166" s="146"/>
    </row>
    <row r="167" spans="4:10">
      <c r="D167" s="115"/>
      <c r="F167" s="115"/>
      <c r="G167" s="148">
        <v>1.4710000000000001</v>
      </c>
      <c r="H167" s="144"/>
      <c r="I167" s="144"/>
      <c r="J167" s="144"/>
    </row>
    <row r="168" spans="4:10">
      <c r="D168" s="115"/>
      <c r="F168" s="115"/>
      <c r="G168" s="147">
        <v>1.526</v>
      </c>
      <c r="H168" s="146"/>
      <c r="I168" s="146"/>
      <c r="J168" s="146"/>
    </row>
    <row r="169" spans="4:10">
      <c r="D169" s="115"/>
      <c r="F169" s="115"/>
      <c r="G169" s="147">
        <v>1.5509999999999999</v>
      </c>
      <c r="H169" s="146"/>
      <c r="I169" s="146"/>
      <c r="J169" s="146"/>
    </row>
    <row r="170" spans="4:10">
      <c r="D170" s="115"/>
      <c r="F170" s="115"/>
      <c r="G170" s="148">
        <v>1.5509999999999999</v>
      </c>
      <c r="H170" s="144"/>
      <c r="I170" s="144"/>
      <c r="J170" s="144"/>
    </row>
    <row r="171" spans="4:10">
      <c r="D171" s="115"/>
      <c r="F171" s="115"/>
      <c r="G171" s="148">
        <v>1.5860000000000001</v>
      </c>
      <c r="H171" s="144"/>
      <c r="I171" s="144"/>
      <c r="J171" s="144"/>
    </row>
    <row r="172" spans="4:10">
      <c r="D172" s="115"/>
      <c r="F172" s="115"/>
      <c r="G172" s="148">
        <v>1.601</v>
      </c>
      <c r="H172" s="144"/>
      <c r="I172" s="144"/>
      <c r="J172" s="144"/>
    </row>
    <row r="173" spans="4:10">
      <c r="D173" s="115"/>
      <c r="F173" s="115"/>
      <c r="G173" s="147">
        <v>1.6160000000000001</v>
      </c>
      <c r="H173" s="146"/>
      <c r="I173" s="146"/>
      <c r="J173" s="146"/>
    </row>
    <row r="174" spans="4:10">
      <c r="D174" s="115"/>
      <c r="F174" s="115"/>
      <c r="G174" s="147">
        <v>1.69</v>
      </c>
      <c r="H174" s="146"/>
      <c r="I174" s="146"/>
      <c r="J174" s="146"/>
    </row>
    <row r="175" spans="4:10">
      <c r="D175" s="115"/>
      <c r="F175" s="115"/>
      <c r="G175" s="149">
        <v>1.6970000000000001</v>
      </c>
      <c r="H175" s="150"/>
      <c r="I175" s="150"/>
      <c r="J175" s="150"/>
    </row>
    <row r="176" spans="4:10">
      <c r="D176" s="115"/>
      <c r="F176" s="115"/>
      <c r="G176" s="149">
        <v>1.6970000000000001</v>
      </c>
      <c r="H176" s="150"/>
      <c r="I176" s="150"/>
      <c r="J176" s="150"/>
    </row>
    <row r="177" spans="4:10">
      <c r="D177" s="115"/>
      <c r="F177" s="115"/>
      <c r="G177" s="148">
        <v>1.7270000000000001</v>
      </c>
      <c r="H177" s="144"/>
      <c r="I177" s="144"/>
      <c r="J177" s="144"/>
    </row>
    <row r="178" spans="4:10">
      <c r="D178" s="115"/>
      <c r="F178" s="115"/>
      <c r="G178" s="148">
        <v>1.738</v>
      </c>
      <c r="H178" s="144"/>
      <c r="I178" s="144"/>
      <c r="J178" s="144"/>
    </row>
    <row r="179" spans="4:10">
      <c r="D179" s="115"/>
      <c r="F179" s="115"/>
      <c r="G179" s="148">
        <v>1.75</v>
      </c>
      <c r="H179" s="144"/>
      <c r="I179" s="144"/>
      <c r="J179" s="144"/>
    </row>
    <row r="180" spans="4:10">
      <c r="D180" s="115"/>
      <c r="F180" s="115"/>
      <c r="G180" s="148">
        <v>1.756</v>
      </c>
      <c r="H180" s="144"/>
      <c r="I180" s="144"/>
      <c r="J180" s="144"/>
    </row>
    <row r="181" spans="4:10">
      <c r="D181" s="115"/>
      <c r="F181" s="115"/>
      <c r="G181" s="148">
        <v>1.758</v>
      </c>
      <c r="H181" s="144"/>
      <c r="I181" s="144"/>
      <c r="J181" s="144"/>
    </row>
    <row r="182" spans="4:10">
      <c r="D182" s="115"/>
      <c r="F182" s="115"/>
      <c r="G182" s="147">
        <v>1.821</v>
      </c>
      <c r="H182" s="146"/>
      <c r="I182" s="146"/>
      <c r="J182" s="146"/>
    </row>
    <row r="183" spans="4:10">
      <c r="D183" s="115"/>
      <c r="F183" s="115"/>
      <c r="G183" s="148">
        <v>1.821</v>
      </c>
      <c r="H183" s="144"/>
      <c r="I183" s="144"/>
      <c r="J183" s="144"/>
    </row>
    <row r="184" spans="4:10">
      <c r="D184" s="115"/>
      <c r="F184" s="115"/>
      <c r="G184" s="147">
        <v>1.821</v>
      </c>
      <c r="H184" s="146"/>
      <c r="I184" s="146"/>
      <c r="J184" s="146"/>
    </row>
    <row r="185" spans="4:10">
      <c r="D185" s="115"/>
      <c r="F185" s="115"/>
      <c r="G185" s="147">
        <v>1.853</v>
      </c>
      <c r="H185" s="146"/>
      <c r="I185" s="146"/>
      <c r="J185" s="146"/>
    </row>
    <row r="186" spans="4:10">
      <c r="D186" s="115"/>
      <c r="F186" s="115"/>
      <c r="G186" s="147">
        <v>1.901</v>
      </c>
      <c r="H186" s="146"/>
      <c r="I186" s="146"/>
      <c r="J186" s="146"/>
    </row>
    <row r="187" spans="4:10">
      <c r="D187" s="115"/>
      <c r="F187" s="115"/>
      <c r="G187" s="148">
        <v>1.94</v>
      </c>
      <c r="H187" s="144"/>
      <c r="I187" s="144"/>
      <c r="J187" s="144"/>
    </row>
    <row r="188" spans="4:10">
      <c r="D188" s="115"/>
      <c r="F188" s="115"/>
      <c r="G188" s="148">
        <v>1.94</v>
      </c>
      <c r="H188" s="144"/>
      <c r="I188" s="144"/>
      <c r="J188" s="144"/>
    </row>
    <row r="189" spans="4:10">
      <c r="D189" s="115"/>
      <c r="F189" s="115"/>
      <c r="G189" s="148">
        <v>1.964</v>
      </c>
      <c r="H189" s="144"/>
      <c r="I189" s="144"/>
      <c r="J189" s="144"/>
    </row>
    <row r="190" spans="4:10">
      <c r="D190" s="115"/>
      <c r="F190" s="115"/>
      <c r="G190" s="151">
        <v>2.0150000000000001</v>
      </c>
      <c r="H190" s="144"/>
      <c r="I190" s="144"/>
      <c r="J190" s="144"/>
    </row>
    <row r="191" spans="4:10">
      <c r="D191" s="115"/>
      <c r="F191" s="115"/>
      <c r="G191" s="152">
        <v>2.0720000000000001</v>
      </c>
      <c r="H191" s="146"/>
      <c r="I191" s="146"/>
      <c r="J191" s="146"/>
    </row>
    <row r="192" spans="4:10">
      <c r="D192" s="115"/>
      <c r="F192" s="115"/>
      <c r="G192" s="152">
        <v>2.09</v>
      </c>
      <c r="H192" s="146"/>
      <c r="I192" s="146"/>
      <c r="J192" s="146"/>
    </row>
    <row r="193" spans="4:10">
      <c r="D193" s="115"/>
      <c r="F193" s="115"/>
      <c r="G193" s="152">
        <v>2.1349999999999998</v>
      </c>
      <c r="H193" s="146"/>
      <c r="I193" s="146"/>
      <c r="J193" s="146"/>
    </row>
    <row r="194" spans="4:10">
      <c r="D194" s="115"/>
      <c r="F194" s="115"/>
      <c r="G194" s="152">
        <v>2.1349999999999998</v>
      </c>
      <c r="H194" s="146"/>
      <c r="I194" s="146"/>
      <c r="J194" s="146"/>
    </row>
    <row r="195" spans="4:10">
      <c r="D195" s="115"/>
      <c r="F195" s="115"/>
      <c r="G195" s="152">
        <v>2.1349999999999998</v>
      </c>
      <c r="H195" s="146"/>
      <c r="I195" s="146"/>
      <c r="J195" s="146"/>
    </row>
    <row r="196" spans="4:10">
      <c r="D196" s="115"/>
      <c r="F196" s="115"/>
      <c r="G196" s="152">
        <v>2.1349999999999998</v>
      </c>
      <c r="H196" s="146"/>
      <c r="I196" s="146"/>
      <c r="J196" s="146"/>
    </row>
    <row r="197" spans="4:10">
      <c r="D197" s="115"/>
      <c r="F197" s="115"/>
      <c r="G197" s="152">
        <v>2.1349999999999998</v>
      </c>
      <c r="H197" s="146"/>
      <c r="I197" s="146"/>
      <c r="J197" s="146"/>
    </row>
    <row r="198" spans="4:10">
      <c r="D198" s="115"/>
      <c r="F198" s="115"/>
      <c r="G198" s="152">
        <v>2.1349999999999998</v>
      </c>
      <c r="H198" s="146"/>
      <c r="I198" s="146"/>
      <c r="J198" s="146"/>
    </row>
    <row r="199" spans="4:10">
      <c r="D199" s="115"/>
      <c r="F199" s="115"/>
      <c r="G199" s="152">
        <v>2.1349999999999998</v>
      </c>
      <c r="H199" s="146"/>
      <c r="I199" s="146"/>
      <c r="J199" s="146"/>
    </row>
    <row r="200" spans="4:10">
      <c r="D200" s="115"/>
      <c r="F200" s="115"/>
      <c r="G200" s="151">
        <v>2.1349999999999998</v>
      </c>
      <c r="H200" s="144"/>
      <c r="I200" s="144"/>
      <c r="J200" s="144"/>
    </row>
    <row r="201" spans="4:10">
      <c r="D201" s="115"/>
      <c r="F201" s="115"/>
      <c r="G201" s="152">
        <v>2.17</v>
      </c>
      <c r="H201" s="146"/>
      <c r="I201" s="146"/>
      <c r="J201" s="146"/>
    </row>
    <row r="202" spans="4:10">
      <c r="D202" s="115"/>
      <c r="F202" s="115"/>
      <c r="G202" s="151">
        <v>2.17</v>
      </c>
      <c r="H202" s="144"/>
      <c r="I202" s="144"/>
      <c r="J202" s="144"/>
    </row>
    <row r="203" spans="4:10">
      <c r="D203" s="115"/>
      <c r="F203" s="115"/>
      <c r="G203" s="152">
        <v>2.3130000000000002</v>
      </c>
      <c r="H203" s="146"/>
      <c r="I203" s="146"/>
      <c r="J203" s="146"/>
    </row>
    <row r="204" spans="4:10">
      <c r="D204" s="115"/>
      <c r="F204" s="115"/>
      <c r="G204" s="152">
        <v>2.3159999999999998</v>
      </c>
      <c r="H204" s="146"/>
      <c r="I204" s="146"/>
      <c r="J204" s="146"/>
    </row>
    <row r="205" spans="4:10">
      <c r="D205" s="115"/>
      <c r="F205" s="115"/>
      <c r="G205" s="152">
        <v>2.3359999999999999</v>
      </c>
      <c r="H205" s="146"/>
      <c r="I205" s="146"/>
      <c r="J205" s="146"/>
    </row>
    <row r="206" spans="4:10">
      <c r="D206" s="115"/>
      <c r="F206" s="115"/>
      <c r="G206" s="152">
        <v>2.34</v>
      </c>
      <c r="H206" s="146"/>
      <c r="I206" s="146"/>
      <c r="J206" s="146"/>
    </row>
    <row r="207" spans="4:10">
      <c r="D207" s="115"/>
      <c r="F207" s="115"/>
      <c r="G207" s="151">
        <v>2.4</v>
      </c>
      <c r="H207" s="144"/>
      <c r="I207" s="144"/>
      <c r="J207" s="144"/>
    </row>
    <row r="208" spans="4:10">
      <c r="D208" s="115"/>
      <c r="F208" s="115"/>
      <c r="G208" s="152">
        <v>2.66</v>
      </c>
      <c r="H208" s="146"/>
      <c r="I208" s="146"/>
      <c r="J208" s="146"/>
    </row>
    <row r="209" spans="4:10">
      <c r="D209" s="115"/>
      <c r="F209" s="115"/>
      <c r="G209" s="152">
        <v>2.8940000000000001</v>
      </c>
      <c r="H209" s="146"/>
      <c r="I209" s="146"/>
      <c r="J209" s="146"/>
    </row>
    <row r="210" spans="4:10">
      <c r="D210" s="115"/>
      <c r="F210" s="115"/>
      <c r="G210" s="153">
        <v>3.1349999999999998</v>
      </c>
      <c r="H210" s="144"/>
      <c r="I210" s="144"/>
      <c r="J210" s="144"/>
    </row>
    <row r="211" spans="4:10">
      <c r="D211" s="115"/>
      <c r="F211" s="115"/>
      <c r="G211" s="153">
        <v>3.1669999999999998</v>
      </c>
      <c r="H211" s="144"/>
      <c r="I211" s="144"/>
      <c r="J211" s="144"/>
    </row>
    <row r="212" spans="4:10">
      <c r="D212" s="115"/>
      <c r="F212" s="115"/>
      <c r="G212" s="153">
        <v>3.278</v>
      </c>
      <c r="H212" s="144"/>
      <c r="I212" s="144"/>
      <c r="J212" s="144"/>
    </row>
    <row r="213" spans="4:10">
      <c r="D213" s="115"/>
      <c r="F213" s="115"/>
      <c r="G213" s="153">
        <v>3.5539999999999998</v>
      </c>
      <c r="H213" s="144"/>
      <c r="I213" s="144"/>
      <c r="J213" s="144"/>
    </row>
    <row r="214" spans="4:10">
      <c r="D214" s="115"/>
      <c r="F214" s="115"/>
      <c r="G214" s="154">
        <v>3.5539999999999998</v>
      </c>
      <c r="H214" s="146"/>
      <c r="I214" s="146"/>
      <c r="J214" s="146"/>
    </row>
    <row r="215" spans="4:10">
      <c r="D215" s="115"/>
      <c r="F215" s="115"/>
      <c r="G215" s="153">
        <v>3.7919999999999998</v>
      </c>
      <c r="H215" s="144"/>
      <c r="I215" s="144"/>
      <c r="J215" s="144"/>
    </row>
    <row r="216" spans="4:10">
      <c r="D216" s="115"/>
      <c r="F216" s="115"/>
      <c r="G216" s="154">
        <v>3.7919999999999998</v>
      </c>
      <c r="H216" s="146"/>
      <c r="I216" s="146"/>
      <c r="J216" s="146"/>
    </row>
    <row r="217" spans="4:10">
      <c r="D217" s="115"/>
      <c r="F217" s="115"/>
      <c r="G217" s="153">
        <v>3.9449999999999998</v>
      </c>
      <c r="H217" s="144"/>
      <c r="I217" s="144"/>
      <c r="J217" s="144"/>
    </row>
    <row r="218" spans="4:10">
      <c r="D218" s="115"/>
      <c r="F218" s="115"/>
      <c r="G218" s="154">
        <v>3.9750000000000001</v>
      </c>
      <c r="H218" s="146"/>
      <c r="I218" s="146"/>
      <c r="J218" s="146"/>
    </row>
    <row r="219" spans="4:10">
      <c r="D219" s="115"/>
      <c r="F219" s="115"/>
      <c r="G219" s="153">
        <v>4.1440000000000001</v>
      </c>
      <c r="H219" s="144"/>
      <c r="I219" s="144"/>
      <c r="J219" s="144"/>
    </row>
    <row r="220" spans="4:10">
      <c r="D220" s="115"/>
      <c r="F220" s="115"/>
      <c r="G220" s="153">
        <v>4.1619999999999999</v>
      </c>
      <c r="H220" s="144"/>
      <c r="I220" s="144"/>
      <c r="J220" s="144"/>
    </row>
    <row r="221" spans="4:10">
      <c r="D221" s="115"/>
      <c r="F221" s="115"/>
      <c r="G221" s="153">
        <v>4.2190000000000003</v>
      </c>
      <c r="H221" s="144"/>
      <c r="I221" s="144"/>
      <c r="J221" s="144"/>
    </row>
    <row r="222" spans="4:10">
      <c r="D222" s="115"/>
      <c r="F222" s="115"/>
      <c r="G222" s="154">
        <v>4.3499999999999996</v>
      </c>
      <c r="H222" s="146"/>
      <c r="I222" s="146"/>
      <c r="J222" s="146"/>
    </row>
    <row r="223" spans="4:10">
      <c r="G223" s="153">
        <v>4.3849999999999998</v>
      </c>
      <c r="H223" s="144"/>
      <c r="I223" s="144"/>
      <c r="J223" s="144"/>
    </row>
    <row r="224" spans="4:10">
      <c r="G224" s="155">
        <v>5.44</v>
      </c>
      <c r="H224" s="144"/>
      <c r="I224" s="144"/>
      <c r="J224" s="144"/>
    </row>
  </sheetData>
  <sortState ref="I6:I119">
    <sortCondition descending="1" ref="I6:I1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4"/>
  <dimension ref="A1"/>
  <sheetViews>
    <sheetView topLeftCell="A37" workbookViewId="0">
      <selection activeCell="J46" sqref="J46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0"/>
  <dimension ref="A1"/>
  <sheetViews>
    <sheetView workbookViewId="0">
      <selection activeCell="B3" sqref="B3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2"/>
  <sheetViews>
    <sheetView topLeftCell="A61" workbookViewId="0">
      <selection activeCell="D79" sqref="D79"/>
    </sheetView>
  </sheetViews>
  <sheetFormatPr baseColWidth="10" defaultRowHeight="12.75"/>
  <sheetData>
    <row r="2" spans="2:6">
      <c r="B2" s="482"/>
      <c r="C2" s="482"/>
      <c r="D2" s="482"/>
      <c r="E2" s="482"/>
      <c r="F2" s="482"/>
    </row>
  </sheetData>
  <mergeCells count="1">
    <mergeCell ref="B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9" sqref="J19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52</vt:i4>
      </vt:variant>
    </vt:vector>
  </HeadingPairs>
  <TitlesOfParts>
    <vt:vector size="60" baseType="lpstr">
      <vt:lpstr>Datos </vt:lpstr>
      <vt:lpstr>Hoja1</vt:lpstr>
      <vt:lpstr>2001-2006 Indicadores</vt:lpstr>
      <vt:lpstr>Hoja2</vt:lpstr>
      <vt:lpstr>Hoja3</vt:lpstr>
      <vt:lpstr>Ingresos Conv UM</vt:lpstr>
      <vt:lpstr>GRAFICAS ANUALES</vt:lpstr>
      <vt:lpstr>Hoja4</vt:lpstr>
      <vt:lpstr>Ingresos por Conv CIMAV-UM</vt:lpstr>
      <vt:lpstr>Ingresos por Conv CIMAV</vt:lpstr>
      <vt:lpstr>Servicios</vt:lpstr>
      <vt:lpstr>Capítulos de Libro</vt:lpstr>
      <vt:lpstr>Presup Fiscal Mod y ejer</vt:lpstr>
      <vt:lpstr>Verano Científico</vt:lpstr>
      <vt:lpstr>Ing x Serv y proyect</vt:lpstr>
      <vt:lpstr>Solicitudes de Patentes</vt:lpstr>
      <vt:lpstr>Publicacione x Inv</vt:lpstr>
      <vt:lpstr>Personal Total</vt:lpstr>
      <vt:lpstr>Personal Académico</vt:lpstr>
      <vt:lpstr>Grado Academico</vt:lpstr>
      <vt:lpstr>SNI Año</vt:lpstr>
      <vt:lpstr>SNI</vt:lpstr>
      <vt:lpstr>Proyectos Investiga</vt:lpstr>
      <vt:lpstr>Proyectos</vt:lpstr>
      <vt:lpstr>Alum Atendidos</vt:lpstr>
      <vt:lpstr>Proy Conv</vt:lpstr>
      <vt:lpstr>Graduados</vt:lpstr>
      <vt:lpstr>Artículos Publicados</vt:lpstr>
      <vt:lpstr>Convenios Vig</vt:lpstr>
      <vt:lpstr>Ingresos por Inves (2)</vt:lpstr>
      <vt:lpstr>Matrícula</vt:lpstr>
      <vt:lpstr>Ingresos por personal académico</vt:lpstr>
      <vt:lpstr>Clientes Atend</vt:lpstr>
      <vt:lpstr>Citas</vt:lpstr>
      <vt:lpstr>Proyectos Convoc</vt:lpstr>
      <vt:lpstr>Ingresos</vt:lpstr>
      <vt:lpstr>Ingresos Totales</vt:lpstr>
      <vt:lpstr>Gasto</vt:lpstr>
      <vt:lpstr>Ingresos Prog y Captado</vt:lpstr>
      <vt:lpstr>Ingresos Prog y Captado (2)</vt:lpstr>
      <vt:lpstr>Gasto Programado y Ejercido</vt:lpstr>
      <vt:lpstr>Gasto Modificado y Ejercido </vt:lpstr>
      <vt:lpstr>Gráfico1</vt:lpstr>
      <vt:lpstr>Artículos</vt:lpstr>
      <vt:lpstr>Indicadores SNI</vt:lpstr>
      <vt:lpstr>Indicad Ef Terminal 1</vt:lpstr>
      <vt:lpstr>Indic Ingresos</vt:lpstr>
      <vt:lpstr>Programas</vt:lpstr>
      <vt:lpstr>FRH INVS</vt:lpstr>
      <vt:lpstr>Tiempo de Grad</vt:lpstr>
      <vt:lpstr>PNP y FRH</vt:lpstr>
      <vt:lpstr>Ppto Ejercido Total por persona</vt:lpstr>
      <vt:lpstr>UM Personal Total</vt:lpstr>
      <vt:lpstr>Personal Académico UM</vt:lpstr>
      <vt:lpstr>Artículos Publicados (2)</vt:lpstr>
      <vt:lpstr>Grado Academico UM</vt:lpstr>
      <vt:lpstr>SNI UM</vt:lpstr>
      <vt:lpstr>Matrícula UM</vt:lpstr>
      <vt:lpstr>Graduados MCCyT</vt:lpstr>
      <vt:lpstr>Ingresos por ServyProyUM</vt:lpstr>
    </vt:vector>
  </TitlesOfParts>
  <Company>Todos Nosotros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Cimav</dc:creator>
  <cp:lastModifiedBy>monica.miranda</cp:lastModifiedBy>
  <cp:lastPrinted>2007-02-19T18:47:01Z</cp:lastPrinted>
  <dcterms:created xsi:type="dcterms:W3CDTF">1998-10-01T03:59:58Z</dcterms:created>
  <dcterms:modified xsi:type="dcterms:W3CDTF">2014-02-21T02:04:58Z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1324470924</vt:i4>
  </property>
  <property fmtid="{D5CDD505-2E9C-101B-9397-08002B2CF9AE}" pid="3" name="_EmailSubject">
    <vt:lpwstr>DatosPtacionCEE2005.xls</vt:lpwstr>
  </property>
  <property fmtid="{D5CDD505-2E9C-101B-9397-08002B2CF9AE}" pid="4" name="_AuthorEmail">
    <vt:lpwstr>gilda.legarreta@cimav.edu.mx</vt:lpwstr>
  </property>
  <property fmtid="{D5CDD505-2E9C-101B-9397-08002B2CF9AE}" pid="5" name="_AuthorEmailDisplayName">
    <vt:lpwstr>Lic. Gilda Legarreta</vt:lpwstr>
  </property>
  <property fmtid="{D5CDD505-2E9C-101B-9397-08002B2CF9AE}" pid="6" name="_ReviewingToolsShownOnce">
    <vt:lpwstr/>
  </property>
</Properties>
</file>